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2016. évi rend." sheetId="9" r:id="rId1"/>
    <sheet name="A variáció" sheetId="5" r:id="rId2"/>
    <sheet name="B variáció" sheetId="7" r:id="rId3"/>
    <sheet name="Összehasonlítás" sheetId="8" r:id="rId4"/>
    <sheet name="Részletkérdések" sheetId="10" r:id="rId5"/>
  </sheets>
  <definedNames>
    <definedName name="_xlnm.Print_Area" localSheetId="1">'A variáció'!$A$1:$E$46</definedName>
    <definedName name="_xlnm.Print_Area" localSheetId="2">'B variáció'!$A$1:$E$48</definedName>
  </definedNames>
  <calcPr calcId="145621"/>
</workbook>
</file>

<file path=xl/calcChain.xml><?xml version="1.0" encoding="utf-8"?>
<calcChain xmlns="http://schemas.openxmlformats.org/spreadsheetml/2006/main">
  <c r="C14" i="5" l="1"/>
  <c r="K39" i="9" l="1"/>
  <c r="H39" i="9"/>
  <c r="Q39" i="9" s="1"/>
  <c r="S39" i="9" s="1"/>
  <c r="K34" i="9"/>
  <c r="H34" i="9"/>
  <c r="Q34" i="9" s="1"/>
  <c r="S34" i="9" s="1"/>
  <c r="P33" i="9"/>
  <c r="L33" i="9"/>
  <c r="D33" i="9"/>
  <c r="D37" i="9" s="1"/>
  <c r="R32" i="9"/>
  <c r="R33" i="9" s="1"/>
  <c r="P32" i="9"/>
  <c r="O32" i="9"/>
  <c r="N32" i="9"/>
  <c r="N33" i="9" s="1"/>
  <c r="M32" i="9"/>
  <c r="L32" i="9"/>
  <c r="J32" i="9"/>
  <c r="J33" i="9" s="1"/>
  <c r="I32" i="9"/>
  <c r="F32" i="9"/>
  <c r="E32" i="9"/>
  <c r="E33" i="9" s="1"/>
  <c r="D32" i="9"/>
  <c r="C32" i="9"/>
  <c r="C33" i="9" s="1"/>
  <c r="K31" i="9"/>
  <c r="H31" i="9"/>
  <c r="Q31" i="9" s="1"/>
  <c r="S31" i="9" s="1"/>
  <c r="K30" i="9"/>
  <c r="H30" i="9"/>
  <c r="Q30" i="9" s="1"/>
  <c r="S30" i="9" s="1"/>
  <c r="R29" i="9"/>
  <c r="P29" i="9"/>
  <c r="N29" i="9"/>
  <c r="M29" i="9"/>
  <c r="M33" i="9" s="1"/>
  <c r="L29" i="9"/>
  <c r="J29" i="9"/>
  <c r="I29" i="9"/>
  <c r="K29" i="9" s="1"/>
  <c r="G29" i="9"/>
  <c r="G33" i="9" s="1"/>
  <c r="E29" i="9"/>
  <c r="D29" i="9"/>
  <c r="C29" i="9"/>
  <c r="K28" i="9"/>
  <c r="H28" i="9"/>
  <c r="Q28" i="9" s="1"/>
  <c r="S28" i="9" s="1"/>
  <c r="K27" i="9"/>
  <c r="H27" i="9"/>
  <c r="Q27" i="9" s="1"/>
  <c r="S27" i="9" s="1"/>
  <c r="K26" i="9"/>
  <c r="Q26" i="9" s="1"/>
  <c r="S26" i="9" s="1"/>
  <c r="H26" i="9"/>
  <c r="O25" i="9"/>
  <c r="O29" i="9" s="1"/>
  <c r="K25" i="9"/>
  <c r="F25" i="9"/>
  <c r="F29" i="9" s="1"/>
  <c r="E25" i="9"/>
  <c r="Q24" i="9"/>
  <c r="S24" i="9" s="1"/>
  <c r="K24" i="9"/>
  <c r="H24" i="9"/>
  <c r="R20" i="9"/>
  <c r="P20" i="9"/>
  <c r="P21" i="9" s="1"/>
  <c r="P35" i="9" s="1"/>
  <c r="P36" i="9" s="1"/>
  <c r="O20" i="9"/>
  <c r="N20" i="9"/>
  <c r="L20" i="9"/>
  <c r="L21" i="9" s="1"/>
  <c r="L35" i="9" s="1"/>
  <c r="L36" i="9" s="1"/>
  <c r="J20" i="9"/>
  <c r="I20" i="9"/>
  <c r="I21" i="9" s="1"/>
  <c r="G20" i="9"/>
  <c r="F20" i="9"/>
  <c r="E20" i="9"/>
  <c r="E21" i="9" s="1"/>
  <c r="E35" i="9" s="1"/>
  <c r="E36" i="9" s="1"/>
  <c r="D20" i="9"/>
  <c r="D21" i="9" s="1"/>
  <c r="D35" i="9" s="1"/>
  <c r="D36" i="9" s="1"/>
  <c r="C20" i="9"/>
  <c r="Q19" i="9"/>
  <c r="S19" i="9" s="1"/>
  <c r="K19" i="9"/>
  <c r="H19" i="9"/>
  <c r="K18" i="9"/>
  <c r="H18" i="9"/>
  <c r="Q18" i="9" s="1"/>
  <c r="S18" i="9" s="1"/>
  <c r="M17" i="9"/>
  <c r="M20" i="9" s="1"/>
  <c r="K17" i="9"/>
  <c r="H17" i="9"/>
  <c r="Q17" i="9" s="1"/>
  <c r="S17" i="9" s="1"/>
  <c r="R16" i="9"/>
  <c r="R21" i="9" s="1"/>
  <c r="R35" i="9" s="1"/>
  <c r="R36" i="9" s="1"/>
  <c r="P16" i="9"/>
  <c r="O16" i="9"/>
  <c r="O21" i="9" s="1"/>
  <c r="N16" i="9"/>
  <c r="N21" i="9" s="1"/>
  <c r="N35" i="9" s="1"/>
  <c r="N36" i="9" s="1"/>
  <c r="L16" i="9"/>
  <c r="J16" i="9"/>
  <c r="K16" i="9" s="1"/>
  <c r="I16" i="9"/>
  <c r="G16" i="9"/>
  <c r="G21" i="9" s="1"/>
  <c r="G35" i="9" s="1"/>
  <c r="G36" i="9" s="1"/>
  <c r="F16" i="9"/>
  <c r="F21" i="9" s="1"/>
  <c r="D16" i="9"/>
  <c r="C16" i="9"/>
  <c r="K15" i="9"/>
  <c r="H15" i="9"/>
  <c r="Q15" i="9" s="1"/>
  <c r="S15" i="9" s="1"/>
  <c r="K14" i="9"/>
  <c r="Q14" i="9" s="1"/>
  <c r="S14" i="9" s="1"/>
  <c r="H14" i="9"/>
  <c r="O13" i="9"/>
  <c r="M13" i="9"/>
  <c r="K13" i="9"/>
  <c r="H13" i="9"/>
  <c r="Q13" i="9" s="1"/>
  <c r="S13" i="9" s="1"/>
  <c r="F13" i="9"/>
  <c r="E13" i="9"/>
  <c r="E16" i="9" s="1"/>
  <c r="O12" i="9"/>
  <c r="M12" i="9"/>
  <c r="K12" i="9"/>
  <c r="H12" i="9"/>
  <c r="Q12" i="9" s="1"/>
  <c r="S12" i="9" s="1"/>
  <c r="F12" i="9"/>
  <c r="O11" i="9"/>
  <c r="M11" i="9"/>
  <c r="M16" i="9" s="1"/>
  <c r="K11" i="9"/>
  <c r="H11" i="9"/>
  <c r="Q11" i="9" s="1"/>
  <c r="S11" i="9" s="1"/>
  <c r="F11" i="9"/>
  <c r="B17" i="8"/>
  <c r="C15" i="8"/>
  <c r="D15" i="8"/>
  <c r="C9" i="8"/>
  <c r="C18" i="8" s="1"/>
  <c r="D9" i="8"/>
  <c r="D18" i="8" s="1"/>
  <c r="B15" i="8"/>
  <c r="B13" i="8"/>
  <c r="B7" i="8"/>
  <c r="B6" i="8"/>
  <c r="B5" i="8"/>
  <c r="B9" i="8" s="1"/>
  <c r="B18" i="8" s="1"/>
  <c r="C20" i="7"/>
  <c r="C18" i="5"/>
  <c r="F33" i="9" l="1"/>
  <c r="R37" i="9"/>
  <c r="S20" i="9"/>
  <c r="T18" i="9" s="1"/>
  <c r="G37" i="9"/>
  <c r="M37" i="9"/>
  <c r="S32" i="9"/>
  <c r="H33" i="9"/>
  <c r="N37" i="9"/>
  <c r="H16" i="9"/>
  <c r="Q16" i="9" s="1"/>
  <c r="O35" i="9"/>
  <c r="O36" i="9" s="1"/>
  <c r="H29" i="9"/>
  <c r="Q29" i="9" s="1"/>
  <c r="O33" i="9"/>
  <c r="L37" i="9"/>
  <c r="S16" i="9"/>
  <c r="T15" i="9" s="1"/>
  <c r="M21" i="9"/>
  <c r="M35" i="9" s="1"/>
  <c r="M36" i="9" s="1"/>
  <c r="E37" i="9"/>
  <c r="P37" i="9"/>
  <c r="H20" i="9"/>
  <c r="J21" i="9"/>
  <c r="J35" i="9" s="1"/>
  <c r="J36" i="9" s="1"/>
  <c r="J37" i="9" s="1"/>
  <c r="C21" i="9"/>
  <c r="H25" i="9"/>
  <c r="Q25" i="9" s="1"/>
  <c r="S25" i="9" s="1"/>
  <c r="K32" i="9"/>
  <c r="I33" i="9"/>
  <c r="H32" i="9"/>
  <c r="Q32" i="9" s="1"/>
  <c r="K20" i="9"/>
  <c r="C34" i="7"/>
  <c r="C21" i="7"/>
  <c r="B19" i="7"/>
  <c r="B21" i="7" s="1"/>
  <c r="C16" i="7"/>
  <c r="C17" i="7" s="1"/>
  <c r="E45" i="7"/>
  <c r="E44" i="7"/>
  <c r="E43" i="7"/>
  <c r="E42" i="7"/>
  <c r="E41" i="7"/>
  <c r="E40" i="7"/>
  <c r="E39" i="7"/>
  <c r="E38" i="7"/>
  <c r="E37" i="7"/>
  <c r="E36" i="7"/>
  <c r="E35" i="7"/>
  <c r="D34" i="7"/>
  <c r="B34" i="7"/>
  <c r="E31" i="7"/>
  <c r="C29" i="7"/>
  <c r="B29" i="7"/>
  <c r="D28" i="7"/>
  <c r="D29" i="7" s="1"/>
  <c r="E27" i="7"/>
  <c r="E26" i="7"/>
  <c r="E22" i="7"/>
  <c r="E20" i="7"/>
  <c r="D19" i="7"/>
  <c r="D21" i="7" s="1"/>
  <c r="E18" i="7"/>
  <c r="D17" i="7"/>
  <c r="B16" i="7"/>
  <c r="B17" i="7" s="1"/>
  <c r="B32" i="5"/>
  <c r="C15" i="5"/>
  <c r="D26" i="5"/>
  <c r="D17" i="5"/>
  <c r="E17" i="5" s="1"/>
  <c r="D15" i="5"/>
  <c r="B14" i="5"/>
  <c r="E43" i="5"/>
  <c r="E42" i="5"/>
  <c r="E41" i="5"/>
  <c r="E40" i="5"/>
  <c r="E39" i="5"/>
  <c r="E38" i="5"/>
  <c r="E37" i="5"/>
  <c r="E36" i="5"/>
  <c r="E35" i="5"/>
  <c r="E34" i="5"/>
  <c r="E33" i="5"/>
  <c r="D32" i="5"/>
  <c r="C32" i="5"/>
  <c r="E29" i="5"/>
  <c r="C27" i="5"/>
  <c r="B27" i="5"/>
  <c r="E26" i="5"/>
  <c r="D27" i="5"/>
  <c r="E25" i="5"/>
  <c r="E24" i="5"/>
  <c r="E20" i="5"/>
  <c r="B19" i="5"/>
  <c r="E18" i="5"/>
  <c r="E16" i="5"/>
  <c r="E28" i="7" l="1"/>
  <c r="K33" i="9"/>
  <c r="T14" i="9"/>
  <c r="O37" i="9"/>
  <c r="I35" i="9"/>
  <c r="T13" i="9"/>
  <c r="T19" i="9"/>
  <c r="T12" i="9"/>
  <c r="Q20" i="9"/>
  <c r="T11" i="9"/>
  <c r="K21" i="9"/>
  <c r="T17" i="9"/>
  <c r="S29" i="9"/>
  <c r="Q33" i="9"/>
  <c r="S21" i="9"/>
  <c r="F35" i="9"/>
  <c r="F36" i="9" s="1"/>
  <c r="F37" i="9" s="1"/>
  <c r="C35" i="9"/>
  <c r="H21" i="9"/>
  <c r="E32" i="5"/>
  <c r="E17" i="7"/>
  <c r="E19" i="7"/>
  <c r="E29" i="7"/>
  <c r="E34" i="7"/>
  <c r="D23" i="7"/>
  <c r="D32" i="7" s="1"/>
  <c r="C23" i="7"/>
  <c r="B23" i="7"/>
  <c r="E16" i="7"/>
  <c r="E14" i="5"/>
  <c r="E27" i="5"/>
  <c r="B15" i="5"/>
  <c r="E15" i="5" s="1"/>
  <c r="C19" i="5"/>
  <c r="C21" i="5" s="1"/>
  <c r="C30" i="5" s="1"/>
  <c r="D19" i="5"/>
  <c r="T20" i="9" l="1"/>
  <c r="T16" i="9"/>
  <c r="Q21" i="9"/>
  <c r="S35" i="9"/>
  <c r="I36" i="9"/>
  <c r="K35" i="9"/>
  <c r="H35" i="9"/>
  <c r="Q35" i="9" s="1"/>
  <c r="C36" i="9"/>
  <c r="S33" i="9"/>
  <c r="C32" i="7"/>
  <c r="E23" i="7"/>
  <c r="E21" i="7"/>
  <c r="B32" i="7"/>
  <c r="E19" i="5"/>
  <c r="D21" i="5"/>
  <c r="D30" i="5" s="1"/>
  <c r="B21" i="5"/>
  <c r="S36" i="9" l="1"/>
  <c r="H36" i="9"/>
  <c r="C37" i="9"/>
  <c r="H37" i="9" s="1"/>
  <c r="Q37" i="9" s="1"/>
  <c r="K36" i="9"/>
  <c r="I37" i="9"/>
  <c r="K37" i="9" s="1"/>
  <c r="E32" i="7"/>
  <c r="B30" i="5"/>
  <c r="E30" i="5" s="1"/>
  <c r="E21" i="5"/>
  <c r="Q36" i="9" l="1"/>
  <c r="S37" i="9"/>
  <c r="T28" i="9" l="1"/>
  <c r="T27" i="9"/>
  <c r="T24" i="9"/>
  <c r="T34" i="9"/>
  <c r="T26" i="9"/>
  <c r="T30" i="9"/>
  <c r="T31" i="9"/>
  <c r="T25" i="9"/>
  <c r="T32" i="9"/>
  <c r="T29" i="9"/>
  <c r="T33" i="9"/>
  <c r="T35" i="9"/>
  <c r="T36" i="9"/>
  <c r="T37" i="9" l="1"/>
</calcChain>
</file>

<file path=xl/sharedStrings.xml><?xml version="1.0" encoding="utf-8"?>
<sst xmlns="http://schemas.openxmlformats.org/spreadsheetml/2006/main" count="252" uniqueCount="185">
  <si>
    <t>Bevételek</t>
  </si>
  <si>
    <t>Áfa</t>
  </si>
  <si>
    <t>Összesen</t>
  </si>
  <si>
    <t>Könyvtár</t>
  </si>
  <si>
    <t>Közművelődés</t>
  </si>
  <si>
    <t>Iskola eü</t>
  </si>
  <si>
    <t>Járulékok</t>
  </si>
  <si>
    <t>Készletbeszerzés</t>
  </si>
  <si>
    <t>Szolgáltatási kiadások</t>
  </si>
  <si>
    <t>Dologi kiadások összesen</t>
  </si>
  <si>
    <t>Összes Kiadás</t>
  </si>
  <si>
    <t>Bér</t>
  </si>
  <si>
    <t>Kiadások</t>
  </si>
  <si>
    <t>Működési célú átvett pénzeszk</t>
  </si>
  <si>
    <t>Beruházás, Felújítás</t>
  </si>
  <si>
    <t>Működési bevételek</t>
  </si>
  <si>
    <t xml:space="preserve">Működési célú támogatások </t>
  </si>
  <si>
    <t>Központi támogatás</t>
  </si>
  <si>
    <t>Önkormányzati támogatás</t>
  </si>
  <si>
    <t>Takarítónő</t>
  </si>
  <si>
    <t>Karbantartó, udvaros</t>
  </si>
  <si>
    <t>Informatikus</t>
  </si>
  <si>
    <t>Oktatástechnikus</t>
  </si>
  <si>
    <t>Igazgatási ügyintéző</t>
  </si>
  <si>
    <t>Portás</t>
  </si>
  <si>
    <t>Intézményegys. Vezető</t>
  </si>
  <si>
    <t>Könyvtári asszisztens</t>
  </si>
  <si>
    <t>üres álláshely</t>
  </si>
  <si>
    <t>Védőnő</t>
  </si>
  <si>
    <t>Létszám (fő)</t>
  </si>
  <si>
    <t>Fizetés nélküli szabadságon</t>
  </si>
  <si>
    <t>"A" variáció tartalma:</t>
  </si>
  <si>
    <t>Épület</t>
  </si>
  <si>
    <t>Közüzemek</t>
  </si>
  <si>
    <t>Dolgozók</t>
  </si>
  <si>
    <t>Kiadások az "A" variáció esetében</t>
  </si>
  <si>
    <t>Lovasterapeuta díja</t>
  </si>
  <si>
    <t>Zenekari vezető díj</t>
  </si>
  <si>
    <t>X</t>
  </si>
  <si>
    <t>Mazsorett díja</t>
  </si>
  <si>
    <t xml:space="preserve"> - a KLIK-hez áthelyezésre kerül 4 fő takarítőnő, 1 fő portás</t>
  </si>
  <si>
    <t>"B" variáció tartalma:</t>
  </si>
  <si>
    <t>Kiadások az "B" variáció esetében</t>
  </si>
  <si>
    <r>
      <t xml:space="preserve"> - az ÁMK-nál maradó dolgozók: 2 fő takarítónő, 1 fő 4 órában foglalkoztatott mosónő, 1 fő igazgatási ügyintéző, 1 fő informatikus, 1 fő oktatástechnikus, 1 fő könyvtáros, 1 fő int.egység vezető, 1 fő védőnő </t>
    </r>
    <r>
      <rPr>
        <i/>
        <sz val="11"/>
        <color theme="1"/>
        <rFont val="Calibri"/>
        <family val="2"/>
        <charset val="238"/>
        <scheme val="minor"/>
      </rPr>
      <t>(+ 2 üres álláshely, + 1 fő fizetés nélküli szabadságon lévő)</t>
    </r>
  </si>
  <si>
    <t xml:space="preserve"> - a mosoda továbbra is a kollégium épületében működik, a mosás költsége a KLIK-et terheli, azonban a mosónő az ÁMK dolgozója, aki mind a kollégium, mind az étterem szennyesét mossa</t>
  </si>
  <si>
    <t xml:space="preserve"> - portaszolgálat munkamegosztásban történne. Az ÁMK alkalmazásában lévő portás délután, és hétvégén dolgozna. A KLIK alkalmazásában lévő pedig reggel 7-től 4-ig.</t>
  </si>
  <si>
    <t xml:space="preserve"> - a felnőtt sport terembérleti díj ellenében vehetné igénybe a tornatermet</t>
  </si>
  <si>
    <t xml:space="preserve"> - a mosoda az MSE pályán lévő épületébe költözne, és a centrál szennyesét mosná, a kollégium szennyesének mosását ellentételezés ellenében</t>
  </si>
  <si>
    <t xml:space="preserve"> - a közművelődési feladatellátás (irodák, könyvtár,színházterem) változatlan helyen maradna a stúdió kivételével, fenntartásunk ÁMK feladata. A stúdió a színházterem feletti egyik helyiségbe költözne át, eszközeit kizárólag a közművelődés használja.(térítési díj ellenében a KLIK)</t>
  </si>
  <si>
    <t xml:space="preserve"> - az épület kettéválna az előtérnél, a porta, az ott lévő irodák, a színházterem és a mögötte ill. felette lévő tantermek mini tárgyaló termekké alakulna, melyeket kizárólag a közművelődés használna. (térítési díj ellenében a KLIK)</t>
  </si>
  <si>
    <t xml:space="preserve"> - új könyvtár (gyermek és felnőtt) kerülne kialakításra a Járási Hivatal emeleti irodáiban, kialakításához forrás szükséges</t>
  </si>
  <si>
    <t xml:space="preserve"> - portaszolgálat reggel 7-től este órákig( igény és rendezvénytől függően) lenne hétköznapokon, hétvégén rendezvénytől függően.</t>
  </si>
  <si>
    <t>Takarítónő, mosónő</t>
  </si>
  <si>
    <t xml:space="preserve"> - a KLIK-hez áthelyezésre kerül 6 fő takarítőnő, 2 fő portás- igazgatási ügyint., 2 fő hangtechnikus-informatikus. A takarítónők a teljes épületet takarítják (színházterem, közm. Irodák, könyvtár, stúdió, rendezvények esetén is.)</t>
  </si>
  <si>
    <t>Dologi kiadások</t>
  </si>
  <si>
    <t>A variáció</t>
  </si>
  <si>
    <t>B variáció</t>
  </si>
  <si>
    <t>C variáció</t>
  </si>
  <si>
    <t>Műv.Kp+Könyvtár+ÁMK üz.+Iskolavédőnő feladatok tekintetében összesen</t>
  </si>
  <si>
    <t xml:space="preserve"> - ebből fiz. Nélküli szab.</t>
  </si>
  <si>
    <t>2016. évi költségvetési rendelet szerint</t>
  </si>
  <si>
    <t xml:space="preserve"> - ebből üres álláshely</t>
  </si>
  <si>
    <t>12/A. számú melléklete</t>
  </si>
  <si>
    <t>Mezőhegyes Város Önkormányzat</t>
  </si>
  <si>
    <t>2016.évi működési és felhalmozási mérlege (kötelező, önként vállalt és államigazgatási feladatok szerinti bontásban)</t>
  </si>
  <si>
    <t>Költségvetési cím: Általános Művelődési Központ</t>
  </si>
  <si>
    <t xml:space="preserve"> </t>
  </si>
  <si>
    <t>adatok ezer Ft-ban</t>
  </si>
  <si>
    <t>KÖTELEZŐ FELADATOK</t>
  </si>
  <si>
    <t>ÖNK.VÁLL.</t>
  </si>
  <si>
    <t>KIEMELT ELŐIRÁNYZATOK</t>
  </si>
  <si>
    <t>GYERMEKÉTKEZTETÉS</t>
  </si>
  <si>
    <t>KÖZMŰVELŐDÉS</t>
  </si>
  <si>
    <t>Bölcsödei</t>
  </si>
  <si>
    <t>Óvodai</t>
  </si>
  <si>
    <t>Vagyon-</t>
  </si>
  <si>
    <t>Közoktatás</t>
  </si>
  <si>
    <t>Felnőtt</t>
  </si>
  <si>
    <t>Étkeztetési</t>
  </si>
  <si>
    <t>Intézmény</t>
  </si>
  <si>
    <t>Mv.</t>
  </si>
  <si>
    <t>Bölcsöde</t>
  </si>
  <si>
    <t>Óvoda</t>
  </si>
  <si>
    <t>Menzák</t>
  </si>
  <si>
    <t>Diákotthonok</t>
  </si>
  <si>
    <t>Szünidei étk.</t>
  </si>
  <si>
    <t>Műv.Közp.</t>
  </si>
  <si>
    <t>ellátás</t>
  </si>
  <si>
    <t>nevelés</t>
  </si>
  <si>
    <t>üzemelt.</t>
  </si>
  <si>
    <t>működtetése</t>
  </si>
  <si>
    <t>étkeztetés</t>
  </si>
  <si>
    <t>tevékenység</t>
  </si>
  <si>
    <t>összesen</t>
  </si>
  <si>
    <t>%-a</t>
  </si>
  <si>
    <t>KIADÁSOK</t>
  </si>
  <si>
    <t>K1.</t>
  </si>
  <si>
    <t>Személyi juttatások</t>
  </si>
  <si>
    <t>K2.</t>
  </si>
  <si>
    <t>Munkaadói járulék</t>
  </si>
  <si>
    <t>K3.</t>
  </si>
  <si>
    <t>K4.</t>
  </si>
  <si>
    <t>Ellátottak juttatásai</t>
  </si>
  <si>
    <t>K5.</t>
  </si>
  <si>
    <t>Pénzeszközátadások</t>
  </si>
  <si>
    <t>I.</t>
  </si>
  <si>
    <t>MŰKÖDÉSI KIADÁSOK</t>
  </si>
  <si>
    <t>K6.</t>
  </si>
  <si>
    <t>Beruházások</t>
  </si>
  <si>
    <t>K7.</t>
  </si>
  <si>
    <t>Felújítások</t>
  </si>
  <si>
    <t>K8.</t>
  </si>
  <si>
    <t>Egyéb felhalmozási kiadások</t>
  </si>
  <si>
    <t>II.</t>
  </si>
  <si>
    <t>FELHALMOZÁSI KIADÁSOK</t>
  </si>
  <si>
    <t>III.</t>
  </si>
  <si>
    <t>KIADÁSOK MINDÖSSZESEN</t>
  </si>
  <si>
    <t xml:space="preserve">   </t>
  </si>
  <si>
    <t xml:space="preserve">BEVÉTELEK   </t>
  </si>
  <si>
    <t>B3.</t>
  </si>
  <si>
    <t>Közhatalmi bevételek</t>
  </si>
  <si>
    <t>B4.</t>
  </si>
  <si>
    <t>B5.</t>
  </si>
  <si>
    <t>Felhalmozási bevételek</t>
  </si>
  <si>
    <t>B6.</t>
  </si>
  <si>
    <t>Működési célú átvett pénzeszközök</t>
  </si>
  <si>
    <t>B7.</t>
  </si>
  <si>
    <t>Felhalmozási célú átvett pénzeszközök</t>
  </si>
  <si>
    <t>IV.</t>
  </si>
  <si>
    <t>KÖLTSÉGVETÉSI BEVÉTELEK</t>
  </si>
  <si>
    <t>B8.</t>
  </si>
  <si>
    <t>Előző évi maradvány igénybevétele</t>
  </si>
  <si>
    <t>Hitel, kölcsön bevétele</t>
  </si>
  <si>
    <t>V.</t>
  </si>
  <si>
    <t>FINANSZÍROZÁSI BEVÉTELEK</t>
  </si>
  <si>
    <t>VI.</t>
  </si>
  <si>
    <t>BEVÉTELEK ÖSSZESEN</t>
  </si>
  <si>
    <t>VII.</t>
  </si>
  <si>
    <t>KÖZPONTI TÁMOGATÁSOK</t>
  </si>
  <si>
    <t>VIII.</t>
  </si>
  <si>
    <t>ÖNKORMÁNYZATI TÁMOGATÁSOK</t>
  </si>
  <si>
    <t>IX.</t>
  </si>
  <si>
    <t>TÁMOGATÁSOK ÖSSZESEN</t>
  </si>
  <si>
    <t>X.</t>
  </si>
  <si>
    <t>BEVÉTELEK MINDÖSSZESEN</t>
  </si>
  <si>
    <t>LÉTSZÁM ELŐIRÁNYZAT</t>
  </si>
  <si>
    <t>XI.</t>
  </si>
  <si>
    <t>Létszám előirányzat (fő)</t>
  </si>
  <si>
    <t>Közfoglalkoztatottak létszáma (fő)</t>
  </si>
  <si>
    <r>
      <t xml:space="preserve"> - a közüzemi számlákat a KLIK fizeti, melyből légköbméter alapján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scheme val="minor"/>
      </rPr>
      <t>kerülne visszaszámlázásra 14% az ÁMK részére.</t>
    </r>
  </si>
  <si>
    <t xml:space="preserve"> - a közüzemi számlákat a Klik kapja, és 17%-a visszaszámlázásra kerül az ÁMK részére</t>
  </si>
  <si>
    <t>1.</t>
  </si>
  <si>
    <t>Jelenleg érvényben lévő szerződéseink továbbvitele:</t>
  </si>
  <si>
    <t xml:space="preserve"> - Bi-Line Kft. (gázkészülékek karbantartása)</t>
  </si>
  <si>
    <t xml:space="preserve"> - Hrubák György (munkavédelmi, tűzvédelmi szolgáltatás)</t>
  </si>
  <si>
    <t xml:space="preserve"> - Xerox nyomtató (könyvtár)</t>
  </si>
  <si>
    <t xml:space="preserve"> - Napelemek által termelt bevételellel kapcsolatos probléma</t>
  </si>
  <si>
    <t xml:space="preserve"> - Korábbi (közösségi tér, naperőmű), illetve jelenleg folyamatban lévő (TOP) pályázataink kezelése</t>
  </si>
  <si>
    <t xml:space="preserve">2. </t>
  </si>
  <si>
    <t>Parkgondozás kérdésköre</t>
  </si>
  <si>
    <t xml:space="preserve"> - egyéni vállalkozó nettó 13,- ft/m2 nettó áron vállalná a parkgondozást, nyári időszakban 5-6 alkalmmal szükséges füvet nyírni min.</t>
  </si>
  <si>
    <t>3.</t>
  </si>
  <si>
    <t>Gépjárműhasználat:</t>
  </si>
  <si>
    <t xml:space="preserve"> - sportrendezvényre, tanulmányi versenyre stb.  A tanulók tanyagondnoki busszal történő szállítása lefixálni  (ingyen, vagy pl. 300 km-ig ingyen…)</t>
  </si>
  <si>
    <t>4.</t>
  </si>
  <si>
    <r>
      <t xml:space="preserve"> - az ÁMK-nál maradó dolgozók: 1 fő 4 órában foglalkoztatott mosónő, 2 fő karbantartó,  1 fő könyvtáros, 1 fő int.egység vezető, 1 fő védőnő </t>
    </r>
    <r>
      <rPr>
        <i/>
        <sz val="11"/>
        <color theme="1"/>
        <rFont val="Calibri"/>
        <family val="2"/>
        <charset val="238"/>
        <scheme val="minor"/>
      </rPr>
      <t>(+ 2 üres álláshely, + 1 fő fizetés nélküli szabadságon lévő)</t>
    </r>
  </si>
  <si>
    <t>Javítási, karbantartási munkálatok elvégzésének kérdésköre:</t>
  </si>
  <si>
    <t xml:space="preserve"> - a munkák anyagköltségét a KLIK állja, a munkadíj (a karbantartók a mi saját dolgozóink lennének) kerülne kiszámlázásra költségvetés készítő program által meghatározott építő ipari norma alapján (2.500,-ft/óra+áfa)</t>
  </si>
  <si>
    <t xml:space="preserve"> - javítási, karbantartási igények jelentése tanév végéig, összetettebb karbantartási munka költségvetésének előzetes egyeztetése a Gyulai Tankerülettel</t>
  </si>
  <si>
    <t xml:space="preserve">5. </t>
  </si>
  <si>
    <t>Városi rendezvények (melyhez az A variáció szerint ingyenes használatra kapjuk a szükséges termeket, tereket) számának meghatározása (pl. évi 10 rendezvénynap)</t>
  </si>
  <si>
    <t>6.</t>
  </si>
  <si>
    <t>Büfé üzemeltetése</t>
  </si>
  <si>
    <t xml:space="preserve"> - közüzemeivel együtt az ÁMK üzemeltetésébe kerülne át (centrál) szigorúan iskolai büféként</t>
  </si>
  <si>
    <t>7.</t>
  </si>
  <si>
    <t>Kollégium mögött játszótér - felelőségvállalás kérdésköre:</t>
  </si>
  <si>
    <t xml:space="preserve"> - mindenki saját felelőségre használhatja (Top pályázat - zöldváros kialakításának része a játszótéri elemek cserélése)</t>
  </si>
  <si>
    <t xml:space="preserve">9. </t>
  </si>
  <si>
    <t>Az iskola területének körbe kerítése</t>
  </si>
  <si>
    <t xml:space="preserve"> - KLIK részéről merült fel, műemléki területről van szó!!!</t>
  </si>
  <si>
    <t>10.</t>
  </si>
  <si>
    <t>ÁMK egyedi gázfűtésre történő áttérésére nyert 51 millió forintból 8 millió forint a 2017. évi gázfűtésre lett ütemezve</t>
  </si>
  <si>
    <t xml:space="preserve"> - az összeg átcsoportosítása valamilyen felújítási feladatra?</t>
  </si>
  <si>
    <t>Részletkérdések</t>
  </si>
  <si>
    <t xml:space="preserve"> - a közművelődési feladatellátás (irodák, könyvtár, stúdió, színházterem, büfé) változatlan helyen maradnak, azzal a kitétellel, hogy a színházterem továbbra is használható a mindennapi testnevelés, mazsorett próbák, szakkörök megtartására, de a tornaterem is díjmentesen használható a délutáni Mezőhegyesi verseny és tömegsport edzésekhez, valamint a civil szervezetek is kapnak helyet az épületben gyűléseikhez térítésmentesen. Az ÁMK-t körülvevő parkot gondozzuk, hangtechnikai eszközöket nem adjuk át, de az iskola rendelkezésére bocsátjuk díjmentesen szükség esetén. Hétvégi rendezvényeink megtartásához térítésmentesen használhatjuk az épületet.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</si>
</sst>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H_U_F_-;\-* #,##0.00\ _H_U_F_-;_-* &quot;-&quot;??\ _H_U_F_-;_-@_-"/>
    <numFmt numFmtId="165" formatCode="_-* #,##0\ _H_U_F_-;\-* #,##0\ _H_U_F_-;_-* &quot;-&quot;??\ _H_U_F_-;_-@_-"/>
    <numFmt numFmtId="166" formatCode="_-* #,##0\ _F_t_-;\-* #,##0\ _F_t_-;_-* &quot;-&quot;??\ _F_t_-;_-@_-"/>
    <numFmt numFmtId="167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4">
    <xf numFmtId="0" fontId="0" fillId="0" borderId="0" xfId="0"/>
    <xf numFmtId="165" fontId="0" fillId="0" borderId="0" xfId="1" applyNumberFormat="1" applyFont="1"/>
    <xf numFmtId="165" fontId="3" fillId="0" borderId="0" xfId="1" applyNumberFormat="1" applyFont="1"/>
    <xf numFmtId="165" fontId="1" fillId="0" borderId="0" xfId="1" applyNumberFormat="1" applyFont="1"/>
    <xf numFmtId="165" fontId="3" fillId="2" borderId="0" xfId="1" applyNumberFormat="1" applyFont="1" applyFill="1"/>
    <xf numFmtId="165" fontId="0" fillId="2" borderId="0" xfId="1" applyNumberFormat="1" applyFont="1" applyFill="1"/>
    <xf numFmtId="165" fontId="4" fillId="0" borderId="0" xfId="1" applyNumberFormat="1" applyFont="1"/>
    <xf numFmtId="165" fontId="0" fillId="0" borderId="1" xfId="1" applyNumberFormat="1" applyFont="1" applyBorder="1"/>
    <xf numFmtId="0" fontId="4" fillId="0" borderId="0" xfId="0" applyFont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65" fontId="3" fillId="0" borderId="0" xfId="1" applyNumberFormat="1" applyFont="1" applyFill="1"/>
    <xf numFmtId="165" fontId="0" fillId="0" borderId="0" xfId="1" applyNumberFormat="1" applyFont="1" applyFill="1"/>
    <xf numFmtId="165" fontId="4" fillId="0" borderId="0" xfId="1" applyNumberFormat="1" applyFont="1" applyAlignment="1">
      <alignment horizontal="center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vertical="center" wrapText="1"/>
    </xf>
    <xf numFmtId="165" fontId="3" fillId="0" borderId="1" xfId="1" applyNumberFormat="1" applyFont="1" applyBorder="1"/>
    <xf numFmtId="165" fontId="3" fillId="2" borderId="1" xfId="1" applyNumberFormat="1" applyFont="1" applyFill="1" applyBorder="1"/>
    <xf numFmtId="165" fontId="0" fillId="2" borderId="1" xfId="1" applyNumberFormat="1" applyFont="1" applyFill="1" applyBorder="1"/>
    <xf numFmtId="165" fontId="3" fillId="2" borderId="1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vertical="center"/>
    </xf>
    <xf numFmtId="165" fontId="1" fillId="0" borderId="1" xfId="1" applyNumberFormat="1" applyFont="1" applyBorder="1"/>
    <xf numFmtId="165" fontId="3" fillId="0" borderId="1" xfId="1" applyNumberFormat="1" applyFont="1" applyFill="1" applyBorder="1"/>
    <xf numFmtId="166" fontId="5" fillId="0" borderId="0" xfId="1" applyNumberFormat="1" applyFont="1"/>
    <xf numFmtId="166" fontId="5" fillId="3" borderId="11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6" fontId="6" fillId="4" borderId="10" xfId="1" applyNumberFormat="1" applyFont="1" applyFill="1" applyBorder="1" applyAlignment="1">
      <alignment horizontal="center"/>
    </xf>
    <xf numFmtId="166" fontId="5" fillId="3" borderId="2" xfId="1" applyNumberFormat="1" applyFont="1" applyFill="1" applyBorder="1" applyAlignment="1">
      <alignment horizontal="right"/>
    </xf>
    <xf numFmtId="166" fontId="5" fillId="3" borderId="13" xfId="1" applyNumberFormat="1" applyFont="1" applyFill="1" applyBorder="1"/>
    <xf numFmtId="166" fontId="6" fillId="3" borderId="6" xfId="1" applyNumberFormat="1" applyFont="1" applyFill="1" applyBorder="1" applyAlignment="1">
      <alignment horizontal="center"/>
    </xf>
    <xf numFmtId="166" fontId="6" fillId="3" borderId="13" xfId="1" applyNumberFormat="1" applyFont="1" applyFill="1" applyBorder="1" applyAlignment="1">
      <alignment horizontal="center"/>
    </xf>
    <xf numFmtId="166" fontId="6" fillId="3" borderId="0" xfId="1" applyNumberFormat="1" applyFont="1" applyFill="1" applyBorder="1" applyAlignment="1">
      <alignment horizontal="center"/>
    </xf>
    <xf numFmtId="166" fontId="6" fillId="3" borderId="11" xfId="1" applyNumberFormat="1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166" fontId="6" fillId="3" borderId="3" xfId="1" applyNumberFormat="1" applyFont="1" applyFill="1" applyBorder="1" applyAlignment="1">
      <alignment horizontal="center"/>
    </xf>
    <xf numFmtId="166" fontId="6" fillId="3" borderId="5" xfId="1" applyNumberFormat="1" applyFont="1" applyFill="1" applyBorder="1" applyAlignment="1">
      <alignment horizontal="center"/>
    </xf>
    <xf numFmtId="166" fontId="5" fillId="3" borderId="12" xfId="1" applyNumberFormat="1" applyFont="1" applyFill="1" applyBorder="1"/>
    <xf numFmtId="166" fontId="5" fillId="3" borderId="9" xfId="1" applyNumberFormat="1" applyFont="1" applyFill="1" applyBorder="1"/>
    <xf numFmtId="166" fontId="6" fillId="3" borderId="8" xfId="1" applyNumberFormat="1" applyFont="1" applyFill="1" applyBorder="1" applyAlignment="1">
      <alignment horizontal="center"/>
    </xf>
    <xf numFmtId="166" fontId="6" fillId="3" borderId="1" xfId="1" applyNumberFormat="1" applyFont="1" applyFill="1" applyBorder="1" applyAlignment="1">
      <alignment horizontal="center"/>
    </xf>
    <xf numFmtId="166" fontId="6" fillId="4" borderId="8" xfId="1" applyNumberFormat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center"/>
    </xf>
    <xf numFmtId="166" fontId="6" fillId="3" borderId="12" xfId="1" applyNumberFormat="1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166" fontId="6" fillId="3" borderId="7" xfId="1" applyNumberFormat="1" applyFont="1" applyFill="1" applyBorder="1" applyAlignment="1">
      <alignment horizontal="center"/>
    </xf>
    <xf numFmtId="166" fontId="5" fillId="0" borderId="1" xfId="1" applyNumberFormat="1" applyFont="1" applyBorder="1" applyAlignment="1">
      <alignment horizontal="center"/>
    </xf>
    <xf numFmtId="166" fontId="5" fillId="0" borderId="1" xfId="1" applyNumberFormat="1" applyFont="1" applyBorder="1"/>
    <xf numFmtId="166" fontId="5" fillId="4" borderId="1" xfId="1" applyNumberFormat="1" applyFont="1" applyFill="1" applyBorder="1"/>
    <xf numFmtId="167" fontId="5" fillId="0" borderId="1" xfId="2" applyNumberFormat="1" applyFont="1" applyBorder="1"/>
    <xf numFmtId="166" fontId="6" fillId="0" borderId="1" xfId="1" applyNumberFormat="1" applyFont="1" applyBorder="1" applyAlignment="1">
      <alignment horizontal="center"/>
    </xf>
    <xf numFmtId="166" fontId="6" fillId="0" borderId="1" xfId="1" applyNumberFormat="1" applyFont="1" applyBorder="1"/>
    <xf numFmtId="166" fontId="6" fillId="4" borderId="1" xfId="1" applyNumberFormat="1" applyFont="1" applyFill="1" applyBorder="1"/>
    <xf numFmtId="167" fontId="6" fillId="0" borderId="1" xfId="2" applyNumberFormat="1" applyFont="1" applyBorder="1"/>
    <xf numFmtId="166" fontId="6" fillId="3" borderId="1" xfId="1" applyNumberFormat="1" applyFont="1" applyFill="1" applyBorder="1"/>
    <xf numFmtId="166" fontId="6" fillId="0" borderId="1" xfId="1" applyNumberFormat="1" applyFont="1" applyFill="1" applyBorder="1" applyAlignment="1">
      <alignment horizontal="center"/>
    </xf>
    <xf numFmtId="166" fontId="6" fillId="0" borderId="1" xfId="1" applyNumberFormat="1" applyFont="1" applyFill="1" applyBorder="1"/>
    <xf numFmtId="167" fontId="6" fillId="3" borderId="1" xfId="2" applyNumberFormat="1" applyFont="1" applyFill="1" applyBorder="1"/>
    <xf numFmtId="166" fontId="6" fillId="0" borderId="0" xfId="1" applyNumberFormat="1" applyFont="1" applyBorder="1"/>
    <xf numFmtId="166" fontId="5" fillId="0" borderId="0" xfId="1" applyNumberFormat="1" applyFont="1" applyBorder="1"/>
    <xf numFmtId="9" fontId="5" fillId="0" borderId="0" xfId="2" applyNumberFormat="1" applyFont="1"/>
    <xf numFmtId="9" fontId="5" fillId="0" borderId="0" xfId="2" applyFont="1"/>
    <xf numFmtId="0" fontId="0" fillId="0" borderId="0" xfId="0" applyAlignment="1">
      <alignment wrapText="1"/>
    </xf>
    <xf numFmtId="166" fontId="6" fillId="4" borderId="14" xfId="1" applyNumberFormat="1" applyFont="1" applyFill="1" applyBorder="1" applyAlignment="1">
      <alignment horizontal="center"/>
    </xf>
    <xf numFmtId="166" fontId="6" fillId="4" borderId="15" xfId="1" applyNumberFormat="1" applyFont="1" applyFill="1" applyBorder="1" applyAlignment="1">
      <alignment horizontal="center"/>
    </xf>
    <xf numFmtId="166" fontId="5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center"/>
    </xf>
    <xf numFmtId="166" fontId="5" fillId="0" borderId="0" xfId="1" applyNumberFormat="1" applyFont="1" applyBorder="1" applyAlignment="1">
      <alignment horizontal="right"/>
    </xf>
    <xf numFmtId="166" fontId="5" fillId="0" borderId="8" xfId="1" applyNumberFormat="1" applyFont="1" applyBorder="1" applyAlignment="1">
      <alignment horizontal="right"/>
    </xf>
    <xf numFmtId="166" fontId="6" fillId="3" borderId="8" xfId="1" applyNumberFormat="1" applyFont="1" applyFill="1" applyBorder="1" applyAlignment="1">
      <alignment horizontal="center"/>
    </xf>
    <xf numFmtId="166" fontId="6" fillId="3" borderId="9" xfId="1" applyNumberFormat="1" applyFont="1" applyFill="1" applyBorder="1" applyAlignment="1">
      <alignment horizontal="center"/>
    </xf>
    <xf numFmtId="166" fontId="6" fillId="3" borderId="7" xfId="1" applyNumberFormat="1" applyFont="1" applyFill="1" applyBorder="1" applyAlignment="1">
      <alignment horizontal="center"/>
    </xf>
    <xf numFmtId="166" fontId="6" fillId="0" borderId="12" xfId="1" applyNumberFormat="1" applyFont="1" applyBorder="1" applyAlignment="1">
      <alignment horizontal="center"/>
    </xf>
    <xf numFmtId="166" fontId="6" fillId="0" borderId="1" xfId="1" applyNumberFormat="1" applyFont="1" applyBorder="1" applyAlignment="1">
      <alignment horizontal="center"/>
    </xf>
    <xf numFmtId="166" fontId="6" fillId="0" borderId="14" xfId="1" applyNumberFormat="1" applyFont="1" applyBorder="1" applyAlignment="1">
      <alignment horizontal="center"/>
    </xf>
    <xf numFmtId="166" fontId="6" fillId="0" borderId="3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selection activeCell="D35" sqref="D35"/>
    </sheetView>
  </sheetViews>
  <sheetFormatPr defaultRowHeight="15" x14ac:dyDescent="0.25"/>
  <cols>
    <col min="1" max="1" width="4.875" customWidth="1"/>
    <col min="2" max="2" width="31.25" customWidth="1"/>
    <col min="3" max="3" width="10.125" bestFit="1" customWidth="1"/>
    <col min="4" max="6" width="11" bestFit="1" customWidth="1"/>
    <col min="7" max="7" width="11" customWidth="1"/>
    <col min="8" max="8" width="9.75" customWidth="1"/>
    <col min="9" max="9" width="11" bestFit="1" customWidth="1"/>
    <col min="10" max="10" width="10.125" bestFit="1" customWidth="1"/>
    <col min="11" max="11" width="10.125" customWidth="1"/>
    <col min="12" max="12" width="10.125" bestFit="1" customWidth="1"/>
    <col min="13" max="13" width="11" bestFit="1" customWidth="1"/>
    <col min="14" max="15" width="10.125" bestFit="1" customWidth="1"/>
    <col min="16" max="16" width="11" bestFit="1" customWidth="1"/>
    <col min="17" max="17" width="10.25" customWidth="1"/>
    <col min="18" max="18" width="11" customWidth="1"/>
    <col min="19" max="19" width="11.875" bestFit="1" customWidth="1"/>
    <col min="20" max="20" width="8.375" customWidth="1"/>
    <col min="257" max="257" width="4.875" customWidth="1"/>
    <col min="258" max="258" width="31.25" customWidth="1"/>
    <col min="259" max="259" width="10.125" bestFit="1" customWidth="1"/>
    <col min="260" max="262" width="11" bestFit="1" customWidth="1"/>
    <col min="263" max="263" width="11" customWidth="1"/>
    <col min="264" max="264" width="9.75" customWidth="1"/>
    <col min="265" max="265" width="11" bestFit="1" customWidth="1"/>
    <col min="266" max="266" width="10.125" bestFit="1" customWidth="1"/>
    <col min="267" max="267" width="10.125" customWidth="1"/>
    <col min="268" max="268" width="10.125" bestFit="1" customWidth="1"/>
    <col min="269" max="269" width="11" bestFit="1" customWidth="1"/>
    <col min="270" max="271" width="10.125" bestFit="1" customWidth="1"/>
    <col min="272" max="272" width="11" bestFit="1" customWidth="1"/>
    <col min="273" max="273" width="10.25" customWidth="1"/>
    <col min="274" max="274" width="11" customWidth="1"/>
    <col min="275" max="275" width="11.875" bestFit="1" customWidth="1"/>
    <col min="276" max="276" width="8.375" customWidth="1"/>
    <col min="513" max="513" width="4.875" customWidth="1"/>
    <col min="514" max="514" width="31.25" customWidth="1"/>
    <col min="515" max="515" width="10.125" bestFit="1" customWidth="1"/>
    <col min="516" max="518" width="11" bestFit="1" customWidth="1"/>
    <col min="519" max="519" width="11" customWidth="1"/>
    <col min="520" max="520" width="9.75" customWidth="1"/>
    <col min="521" max="521" width="11" bestFit="1" customWidth="1"/>
    <col min="522" max="522" width="10.125" bestFit="1" customWidth="1"/>
    <col min="523" max="523" width="10.125" customWidth="1"/>
    <col min="524" max="524" width="10.125" bestFit="1" customWidth="1"/>
    <col min="525" max="525" width="11" bestFit="1" customWidth="1"/>
    <col min="526" max="527" width="10.125" bestFit="1" customWidth="1"/>
    <col min="528" max="528" width="11" bestFit="1" customWidth="1"/>
    <col min="529" max="529" width="10.25" customWidth="1"/>
    <col min="530" max="530" width="11" customWidth="1"/>
    <col min="531" max="531" width="11.875" bestFit="1" customWidth="1"/>
    <col min="532" max="532" width="8.375" customWidth="1"/>
    <col min="769" max="769" width="4.875" customWidth="1"/>
    <col min="770" max="770" width="31.25" customWidth="1"/>
    <col min="771" max="771" width="10.125" bestFit="1" customWidth="1"/>
    <col min="772" max="774" width="11" bestFit="1" customWidth="1"/>
    <col min="775" max="775" width="11" customWidth="1"/>
    <col min="776" max="776" width="9.75" customWidth="1"/>
    <col min="777" max="777" width="11" bestFit="1" customWidth="1"/>
    <col min="778" max="778" width="10.125" bestFit="1" customWidth="1"/>
    <col min="779" max="779" width="10.125" customWidth="1"/>
    <col min="780" max="780" width="10.125" bestFit="1" customWidth="1"/>
    <col min="781" max="781" width="11" bestFit="1" customWidth="1"/>
    <col min="782" max="783" width="10.125" bestFit="1" customWidth="1"/>
    <col min="784" max="784" width="11" bestFit="1" customWidth="1"/>
    <col min="785" max="785" width="10.25" customWidth="1"/>
    <col min="786" max="786" width="11" customWidth="1"/>
    <col min="787" max="787" width="11.875" bestFit="1" customWidth="1"/>
    <col min="788" max="788" width="8.375" customWidth="1"/>
    <col min="1025" max="1025" width="4.875" customWidth="1"/>
    <col min="1026" max="1026" width="31.25" customWidth="1"/>
    <col min="1027" max="1027" width="10.125" bestFit="1" customWidth="1"/>
    <col min="1028" max="1030" width="11" bestFit="1" customWidth="1"/>
    <col min="1031" max="1031" width="11" customWidth="1"/>
    <col min="1032" max="1032" width="9.75" customWidth="1"/>
    <col min="1033" max="1033" width="11" bestFit="1" customWidth="1"/>
    <col min="1034" max="1034" width="10.125" bestFit="1" customWidth="1"/>
    <col min="1035" max="1035" width="10.125" customWidth="1"/>
    <col min="1036" max="1036" width="10.125" bestFit="1" customWidth="1"/>
    <col min="1037" max="1037" width="11" bestFit="1" customWidth="1"/>
    <col min="1038" max="1039" width="10.125" bestFit="1" customWidth="1"/>
    <col min="1040" max="1040" width="11" bestFit="1" customWidth="1"/>
    <col min="1041" max="1041" width="10.25" customWidth="1"/>
    <col min="1042" max="1042" width="11" customWidth="1"/>
    <col min="1043" max="1043" width="11.875" bestFit="1" customWidth="1"/>
    <col min="1044" max="1044" width="8.375" customWidth="1"/>
    <col min="1281" max="1281" width="4.875" customWidth="1"/>
    <col min="1282" max="1282" width="31.25" customWidth="1"/>
    <col min="1283" max="1283" width="10.125" bestFit="1" customWidth="1"/>
    <col min="1284" max="1286" width="11" bestFit="1" customWidth="1"/>
    <col min="1287" max="1287" width="11" customWidth="1"/>
    <col min="1288" max="1288" width="9.75" customWidth="1"/>
    <col min="1289" max="1289" width="11" bestFit="1" customWidth="1"/>
    <col min="1290" max="1290" width="10.125" bestFit="1" customWidth="1"/>
    <col min="1291" max="1291" width="10.125" customWidth="1"/>
    <col min="1292" max="1292" width="10.125" bestFit="1" customWidth="1"/>
    <col min="1293" max="1293" width="11" bestFit="1" customWidth="1"/>
    <col min="1294" max="1295" width="10.125" bestFit="1" customWidth="1"/>
    <col min="1296" max="1296" width="11" bestFit="1" customWidth="1"/>
    <col min="1297" max="1297" width="10.25" customWidth="1"/>
    <col min="1298" max="1298" width="11" customWidth="1"/>
    <col min="1299" max="1299" width="11.875" bestFit="1" customWidth="1"/>
    <col min="1300" max="1300" width="8.375" customWidth="1"/>
    <col min="1537" max="1537" width="4.875" customWidth="1"/>
    <col min="1538" max="1538" width="31.25" customWidth="1"/>
    <col min="1539" max="1539" width="10.125" bestFit="1" customWidth="1"/>
    <col min="1540" max="1542" width="11" bestFit="1" customWidth="1"/>
    <col min="1543" max="1543" width="11" customWidth="1"/>
    <col min="1544" max="1544" width="9.75" customWidth="1"/>
    <col min="1545" max="1545" width="11" bestFit="1" customWidth="1"/>
    <col min="1546" max="1546" width="10.125" bestFit="1" customWidth="1"/>
    <col min="1547" max="1547" width="10.125" customWidth="1"/>
    <col min="1548" max="1548" width="10.125" bestFit="1" customWidth="1"/>
    <col min="1549" max="1549" width="11" bestFit="1" customWidth="1"/>
    <col min="1550" max="1551" width="10.125" bestFit="1" customWidth="1"/>
    <col min="1552" max="1552" width="11" bestFit="1" customWidth="1"/>
    <col min="1553" max="1553" width="10.25" customWidth="1"/>
    <col min="1554" max="1554" width="11" customWidth="1"/>
    <col min="1555" max="1555" width="11.875" bestFit="1" customWidth="1"/>
    <col min="1556" max="1556" width="8.375" customWidth="1"/>
    <col min="1793" max="1793" width="4.875" customWidth="1"/>
    <col min="1794" max="1794" width="31.25" customWidth="1"/>
    <col min="1795" max="1795" width="10.125" bestFit="1" customWidth="1"/>
    <col min="1796" max="1798" width="11" bestFit="1" customWidth="1"/>
    <col min="1799" max="1799" width="11" customWidth="1"/>
    <col min="1800" max="1800" width="9.75" customWidth="1"/>
    <col min="1801" max="1801" width="11" bestFit="1" customWidth="1"/>
    <col min="1802" max="1802" width="10.125" bestFit="1" customWidth="1"/>
    <col min="1803" max="1803" width="10.125" customWidth="1"/>
    <col min="1804" max="1804" width="10.125" bestFit="1" customWidth="1"/>
    <col min="1805" max="1805" width="11" bestFit="1" customWidth="1"/>
    <col min="1806" max="1807" width="10.125" bestFit="1" customWidth="1"/>
    <col min="1808" max="1808" width="11" bestFit="1" customWidth="1"/>
    <col min="1809" max="1809" width="10.25" customWidth="1"/>
    <col min="1810" max="1810" width="11" customWidth="1"/>
    <col min="1811" max="1811" width="11.875" bestFit="1" customWidth="1"/>
    <col min="1812" max="1812" width="8.375" customWidth="1"/>
    <col min="2049" max="2049" width="4.875" customWidth="1"/>
    <col min="2050" max="2050" width="31.25" customWidth="1"/>
    <col min="2051" max="2051" width="10.125" bestFit="1" customWidth="1"/>
    <col min="2052" max="2054" width="11" bestFit="1" customWidth="1"/>
    <col min="2055" max="2055" width="11" customWidth="1"/>
    <col min="2056" max="2056" width="9.75" customWidth="1"/>
    <col min="2057" max="2057" width="11" bestFit="1" customWidth="1"/>
    <col min="2058" max="2058" width="10.125" bestFit="1" customWidth="1"/>
    <col min="2059" max="2059" width="10.125" customWidth="1"/>
    <col min="2060" max="2060" width="10.125" bestFit="1" customWidth="1"/>
    <col min="2061" max="2061" width="11" bestFit="1" customWidth="1"/>
    <col min="2062" max="2063" width="10.125" bestFit="1" customWidth="1"/>
    <col min="2064" max="2064" width="11" bestFit="1" customWidth="1"/>
    <col min="2065" max="2065" width="10.25" customWidth="1"/>
    <col min="2066" max="2066" width="11" customWidth="1"/>
    <col min="2067" max="2067" width="11.875" bestFit="1" customWidth="1"/>
    <col min="2068" max="2068" width="8.375" customWidth="1"/>
    <col min="2305" max="2305" width="4.875" customWidth="1"/>
    <col min="2306" max="2306" width="31.25" customWidth="1"/>
    <col min="2307" max="2307" width="10.125" bestFit="1" customWidth="1"/>
    <col min="2308" max="2310" width="11" bestFit="1" customWidth="1"/>
    <col min="2311" max="2311" width="11" customWidth="1"/>
    <col min="2312" max="2312" width="9.75" customWidth="1"/>
    <col min="2313" max="2313" width="11" bestFit="1" customWidth="1"/>
    <col min="2314" max="2314" width="10.125" bestFit="1" customWidth="1"/>
    <col min="2315" max="2315" width="10.125" customWidth="1"/>
    <col min="2316" max="2316" width="10.125" bestFit="1" customWidth="1"/>
    <col min="2317" max="2317" width="11" bestFit="1" customWidth="1"/>
    <col min="2318" max="2319" width="10.125" bestFit="1" customWidth="1"/>
    <col min="2320" max="2320" width="11" bestFit="1" customWidth="1"/>
    <col min="2321" max="2321" width="10.25" customWidth="1"/>
    <col min="2322" max="2322" width="11" customWidth="1"/>
    <col min="2323" max="2323" width="11.875" bestFit="1" customWidth="1"/>
    <col min="2324" max="2324" width="8.375" customWidth="1"/>
    <col min="2561" max="2561" width="4.875" customWidth="1"/>
    <col min="2562" max="2562" width="31.25" customWidth="1"/>
    <col min="2563" max="2563" width="10.125" bestFit="1" customWidth="1"/>
    <col min="2564" max="2566" width="11" bestFit="1" customWidth="1"/>
    <col min="2567" max="2567" width="11" customWidth="1"/>
    <col min="2568" max="2568" width="9.75" customWidth="1"/>
    <col min="2569" max="2569" width="11" bestFit="1" customWidth="1"/>
    <col min="2570" max="2570" width="10.125" bestFit="1" customWidth="1"/>
    <col min="2571" max="2571" width="10.125" customWidth="1"/>
    <col min="2572" max="2572" width="10.125" bestFit="1" customWidth="1"/>
    <col min="2573" max="2573" width="11" bestFit="1" customWidth="1"/>
    <col min="2574" max="2575" width="10.125" bestFit="1" customWidth="1"/>
    <col min="2576" max="2576" width="11" bestFit="1" customWidth="1"/>
    <col min="2577" max="2577" width="10.25" customWidth="1"/>
    <col min="2578" max="2578" width="11" customWidth="1"/>
    <col min="2579" max="2579" width="11.875" bestFit="1" customWidth="1"/>
    <col min="2580" max="2580" width="8.375" customWidth="1"/>
    <col min="2817" max="2817" width="4.875" customWidth="1"/>
    <col min="2818" max="2818" width="31.25" customWidth="1"/>
    <col min="2819" max="2819" width="10.125" bestFit="1" customWidth="1"/>
    <col min="2820" max="2822" width="11" bestFit="1" customWidth="1"/>
    <col min="2823" max="2823" width="11" customWidth="1"/>
    <col min="2824" max="2824" width="9.75" customWidth="1"/>
    <col min="2825" max="2825" width="11" bestFit="1" customWidth="1"/>
    <col min="2826" max="2826" width="10.125" bestFit="1" customWidth="1"/>
    <col min="2827" max="2827" width="10.125" customWidth="1"/>
    <col min="2828" max="2828" width="10.125" bestFit="1" customWidth="1"/>
    <col min="2829" max="2829" width="11" bestFit="1" customWidth="1"/>
    <col min="2830" max="2831" width="10.125" bestFit="1" customWidth="1"/>
    <col min="2832" max="2832" width="11" bestFit="1" customWidth="1"/>
    <col min="2833" max="2833" width="10.25" customWidth="1"/>
    <col min="2834" max="2834" width="11" customWidth="1"/>
    <col min="2835" max="2835" width="11.875" bestFit="1" customWidth="1"/>
    <col min="2836" max="2836" width="8.375" customWidth="1"/>
    <col min="3073" max="3073" width="4.875" customWidth="1"/>
    <col min="3074" max="3074" width="31.25" customWidth="1"/>
    <col min="3075" max="3075" width="10.125" bestFit="1" customWidth="1"/>
    <col min="3076" max="3078" width="11" bestFit="1" customWidth="1"/>
    <col min="3079" max="3079" width="11" customWidth="1"/>
    <col min="3080" max="3080" width="9.75" customWidth="1"/>
    <col min="3081" max="3081" width="11" bestFit="1" customWidth="1"/>
    <col min="3082" max="3082" width="10.125" bestFit="1" customWidth="1"/>
    <col min="3083" max="3083" width="10.125" customWidth="1"/>
    <col min="3084" max="3084" width="10.125" bestFit="1" customWidth="1"/>
    <col min="3085" max="3085" width="11" bestFit="1" customWidth="1"/>
    <col min="3086" max="3087" width="10.125" bestFit="1" customWidth="1"/>
    <col min="3088" max="3088" width="11" bestFit="1" customWidth="1"/>
    <col min="3089" max="3089" width="10.25" customWidth="1"/>
    <col min="3090" max="3090" width="11" customWidth="1"/>
    <col min="3091" max="3091" width="11.875" bestFit="1" customWidth="1"/>
    <col min="3092" max="3092" width="8.375" customWidth="1"/>
    <col min="3329" max="3329" width="4.875" customWidth="1"/>
    <col min="3330" max="3330" width="31.25" customWidth="1"/>
    <col min="3331" max="3331" width="10.125" bestFit="1" customWidth="1"/>
    <col min="3332" max="3334" width="11" bestFit="1" customWidth="1"/>
    <col min="3335" max="3335" width="11" customWidth="1"/>
    <col min="3336" max="3336" width="9.75" customWidth="1"/>
    <col min="3337" max="3337" width="11" bestFit="1" customWidth="1"/>
    <col min="3338" max="3338" width="10.125" bestFit="1" customWidth="1"/>
    <col min="3339" max="3339" width="10.125" customWidth="1"/>
    <col min="3340" max="3340" width="10.125" bestFit="1" customWidth="1"/>
    <col min="3341" max="3341" width="11" bestFit="1" customWidth="1"/>
    <col min="3342" max="3343" width="10.125" bestFit="1" customWidth="1"/>
    <col min="3344" max="3344" width="11" bestFit="1" customWidth="1"/>
    <col min="3345" max="3345" width="10.25" customWidth="1"/>
    <col min="3346" max="3346" width="11" customWidth="1"/>
    <col min="3347" max="3347" width="11.875" bestFit="1" customWidth="1"/>
    <col min="3348" max="3348" width="8.375" customWidth="1"/>
    <col min="3585" max="3585" width="4.875" customWidth="1"/>
    <col min="3586" max="3586" width="31.25" customWidth="1"/>
    <col min="3587" max="3587" width="10.125" bestFit="1" customWidth="1"/>
    <col min="3588" max="3590" width="11" bestFit="1" customWidth="1"/>
    <col min="3591" max="3591" width="11" customWidth="1"/>
    <col min="3592" max="3592" width="9.75" customWidth="1"/>
    <col min="3593" max="3593" width="11" bestFit="1" customWidth="1"/>
    <col min="3594" max="3594" width="10.125" bestFit="1" customWidth="1"/>
    <col min="3595" max="3595" width="10.125" customWidth="1"/>
    <col min="3596" max="3596" width="10.125" bestFit="1" customWidth="1"/>
    <col min="3597" max="3597" width="11" bestFit="1" customWidth="1"/>
    <col min="3598" max="3599" width="10.125" bestFit="1" customWidth="1"/>
    <col min="3600" max="3600" width="11" bestFit="1" customWidth="1"/>
    <col min="3601" max="3601" width="10.25" customWidth="1"/>
    <col min="3602" max="3602" width="11" customWidth="1"/>
    <col min="3603" max="3603" width="11.875" bestFit="1" customWidth="1"/>
    <col min="3604" max="3604" width="8.375" customWidth="1"/>
    <col min="3841" max="3841" width="4.875" customWidth="1"/>
    <col min="3842" max="3842" width="31.25" customWidth="1"/>
    <col min="3843" max="3843" width="10.125" bestFit="1" customWidth="1"/>
    <col min="3844" max="3846" width="11" bestFit="1" customWidth="1"/>
    <col min="3847" max="3847" width="11" customWidth="1"/>
    <col min="3848" max="3848" width="9.75" customWidth="1"/>
    <col min="3849" max="3849" width="11" bestFit="1" customWidth="1"/>
    <col min="3850" max="3850" width="10.125" bestFit="1" customWidth="1"/>
    <col min="3851" max="3851" width="10.125" customWidth="1"/>
    <col min="3852" max="3852" width="10.125" bestFit="1" customWidth="1"/>
    <col min="3853" max="3853" width="11" bestFit="1" customWidth="1"/>
    <col min="3854" max="3855" width="10.125" bestFit="1" customWidth="1"/>
    <col min="3856" max="3856" width="11" bestFit="1" customWidth="1"/>
    <col min="3857" max="3857" width="10.25" customWidth="1"/>
    <col min="3858" max="3858" width="11" customWidth="1"/>
    <col min="3859" max="3859" width="11.875" bestFit="1" customWidth="1"/>
    <col min="3860" max="3860" width="8.375" customWidth="1"/>
    <col min="4097" max="4097" width="4.875" customWidth="1"/>
    <col min="4098" max="4098" width="31.25" customWidth="1"/>
    <col min="4099" max="4099" width="10.125" bestFit="1" customWidth="1"/>
    <col min="4100" max="4102" width="11" bestFit="1" customWidth="1"/>
    <col min="4103" max="4103" width="11" customWidth="1"/>
    <col min="4104" max="4104" width="9.75" customWidth="1"/>
    <col min="4105" max="4105" width="11" bestFit="1" customWidth="1"/>
    <col min="4106" max="4106" width="10.125" bestFit="1" customWidth="1"/>
    <col min="4107" max="4107" width="10.125" customWidth="1"/>
    <col min="4108" max="4108" width="10.125" bestFit="1" customWidth="1"/>
    <col min="4109" max="4109" width="11" bestFit="1" customWidth="1"/>
    <col min="4110" max="4111" width="10.125" bestFit="1" customWidth="1"/>
    <col min="4112" max="4112" width="11" bestFit="1" customWidth="1"/>
    <col min="4113" max="4113" width="10.25" customWidth="1"/>
    <col min="4114" max="4114" width="11" customWidth="1"/>
    <col min="4115" max="4115" width="11.875" bestFit="1" customWidth="1"/>
    <col min="4116" max="4116" width="8.375" customWidth="1"/>
    <col min="4353" max="4353" width="4.875" customWidth="1"/>
    <col min="4354" max="4354" width="31.25" customWidth="1"/>
    <col min="4355" max="4355" width="10.125" bestFit="1" customWidth="1"/>
    <col min="4356" max="4358" width="11" bestFit="1" customWidth="1"/>
    <col min="4359" max="4359" width="11" customWidth="1"/>
    <col min="4360" max="4360" width="9.75" customWidth="1"/>
    <col min="4361" max="4361" width="11" bestFit="1" customWidth="1"/>
    <col min="4362" max="4362" width="10.125" bestFit="1" customWidth="1"/>
    <col min="4363" max="4363" width="10.125" customWidth="1"/>
    <col min="4364" max="4364" width="10.125" bestFit="1" customWidth="1"/>
    <col min="4365" max="4365" width="11" bestFit="1" customWidth="1"/>
    <col min="4366" max="4367" width="10.125" bestFit="1" customWidth="1"/>
    <col min="4368" max="4368" width="11" bestFit="1" customWidth="1"/>
    <col min="4369" max="4369" width="10.25" customWidth="1"/>
    <col min="4370" max="4370" width="11" customWidth="1"/>
    <col min="4371" max="4371" width="11.875" bestFit="1" customWidth="1"/>
    <col min="4372" max="4372" width="8.375" customWidth="1"/>
    <col min="4609" max="4609" width="4.875" customWidth="1"/>
    <col min="4610" max="4610" width="31.25" customWidth="1"/>
    <col min="4611" max="4611" width="10.125" bestFit="1" customWidth="1"/>
    <col min="4612" max="4614" width="11" bestFit="1" customWidth="1"/>
    <col min="4615" max="4615" width="11" customWidth="1"/>
    <col min="4616" max="4616" width="9.75" customWidth="1"/>
    <col min="4617" max="4617" width="11" bestFit="1" customWidth="1"/>
    <col min="4618" max="4618" width="10.125" bestFit="1" customWidth="1"/>
    <col min="4619" max="4619" width="10.125" customWidth="1"/>
    <col min="4620" max="4620" width="10.125" bestFit="1" customWidth="1"/>
    <col min="4621" max="4621" width="11" bestFit="1" customWidth="1"/>
    <col min="4622" max="4623" width="10.125" bestFit="1" customWidth="1"/>
    <col min="4624" max="4624" width="11" bestFit="1" customWidth="1"/>
    <col min="4625" max="4625" width="10.25" customWidth="1"/>
    <col min="4626" max="4626" width="11" customWidth="1"/>
    <col min="4627" max="4627" width="11.875" bestFit="1" customWidth="1"/>
    <col min="4628" max="4628" width="8.375" customWidth="1"/>
    <col min="4865" max="4865" width="4.875" customWidth="1"/>
    <col min="4866" max="4866" width="31.25" customWidth="1"/>
    <col min="4867" max="4867" width="10.125" bestFit="1" customWidth="1"/>
    <col min="4868" max="4870" width="11" bestFit="1" customWidth="1"/>
    <col min="4871" max="4871" width="11" customWidth="1"/>
    <col min="4872" max="4872" width="9.75" customWidth="1"/>
    <col min="4873" max="4873" width="11" bestFit="1" customWidth="1"/>
    <col min="4874" max="4874" width="10.125" bestFit="1" customWidth="1"/>
    <col min="4875" max="4875" width="10.125" customWidth="1"/>
    <col min="4876" max="4876" width="10.125" bestFit="1" customWidth="1"/>
    <col min="4877" max="4877" width="11" bestFit="1" customWidth="1"/>
    <col min="4878" max="4879" width="10.125" bestFit="1" customWidth="1"/>
    <col min="4880" max="4880" width="11" bestFit="1" customWidth="1"/>
    <col min="4881" max="4881" width="10.25" customWidth="1"/>
    <col min="4882" max="4882" width="11" customWidth="1"/>
    <col min="4883" max="4883" width="11.875" bestFit="1" customWidth="1"/>
    <col min="4884" max="4884" width="8.375" customWidth="1"/>
    <col min="5121" max="5121" width="4.875" customWidth="1"/>
    <col min="5122" max="5122" width="31.25" customWidth="1"/>
    <col min="5123" max="5123" width="10.125" bestFit="1" customWidth="1"/>
    <col min="5124" max="5126" width="11" bestFit="1" customWidth="1"/>
    <col min="5127" max="5127" width="11" customWidth="1"/>
    <col min="5128" max="5128" width="9.75" customWidth="1"/>
    <col min="5129" max="5129" width="11" bestFit="1" customWidth="1"/>
    <col min="5130" max="5130" width="10.125" bestFit="1" customWidth="1"/>
    <col min="5131" max="5131" width="10.125" customWidth="1"/>
    <col min="5132" max="5132" width="10.125" bestFit="1" customWidth="1"/>
    <col min="5133" max="5133" width="11" bestFit="1" customWidth="1"/>
    <col min="5134" max="5135" width="10.125" bestFit="1" customWidth="1"/>
    <col min="5136" max="5136" width="11" bestFit="1" customWidth="1"/>
    <col min="5137" max="5137" width="10.25" customWidth="1"/>
    <col min="5138" max="5138" width="11" customWidth="1"/>
    <col min="5139" max="5139" width="11.875" bestFit="1" customWidth="1"/>
    <col min="5140" max="5140" width="8.375" customWidth="1"/>
    <col min="5377" max="5377" width="4.875" customWidth="1"/>
    <col min="5378" max="5378" width="31.25" customWidth="1"/>
    <col min="5379" max="5379" width="10.125" bestFit="1" customWidth="1"/>
    <col min="5380" max="5382" width="11" bestFit="1" customWidth="1"/>
    <col min="5383" max="5383" width="11" customWidth="1"/>
    <col min="5384" max="5384" width="9.75" customWidth="1"/>
    <col min="5385" max="5385" width="11" bestFit="1" customWidth="1"/>
    <col min="5386" max="5386" width="10.125" bestFit="1" customWidth="1"/>
    <col min="5387" max="5387" width="10.125" customWidth="1"/>
    <col min="5388" max="5388" width="10.125" bestFit="1" customWidth="1"/>
    <col min="5389" max="5389" width="11" bestFit="1" customWidth="1"/>
    <col min="5390" max="5391" width="10.125" bestFit="1" customWidth="1"/>
    <col min="5392" max="5392" width="11" bestFit="1" customWidth="1"/>
    <col min="5393" max="5393" width="10.25" customWidth="1"/>
    <col min="5394" max="5394" width="11" customWidth="1"/>
    <col min="5395" max="5395" width="11.875" bestFit="1" customWidth="1"/>
    <col min="5396" max="5396" width="8.375" customWidth="1"/>
    <col min="5633" max="5633" width="4.875" customWidth="1"/>
    <col min="5634" max="5634" width="31.25" customWidth="1"/>
    <col min="5635" max="5635" width="10.125" bestFit="1" customWidth="1"/>
    <col min="5636" max="5638" width="11" bestFit="1" customWidth="1"/>
    <col min="5639" max="5639" width="11" customWidth="1"/>
    <col min="5640" max="5640" width="9.75" customWidth="1"/>
    <col min="5641" max="5641" width="11" bestFit="1" customWidth="1"/>
    <col min="5642" max="5642" width="10.125" bestFit="1" customWidth="1"/>
    <col min="5643" max="5643" width="10.125" customWidth="1"/>
    <col min="5644" max="5644" width="10.125" bestFit="1" customWidth="1"/>
    <col min="5645" max="5645" width="11" bestFit="1" customWidth="1"/>
    <col min="5646" max="5647" width="10.125" bestFit="1" customWidth="1"/>
    <col min="5648" max="5648" width="11" bestFit="1" customWidth="1"/>
    <col min="5649" max="5649" width="10.25" customWidth="1"/>
    <col min="5650" max="5650" width="11" customWidth="1"/>
    <col min="5651" max="5651" width="11.875" bestFit="1" customWidth="1"/>
    <col min="5652" max="5652" width="8.375" customWidth="1"/>
    <col min="5889" max="5889" width="4.875" customWidth="1"/>
    <col min="5890" max="5890" width="31.25" customWidth="1"/>
    <col min="5891" max="5891" width="10.125" bestFit="1" customWidth="1"/>
    <col min="5892" max="5894" width="11" bestFit="1" customWidth="1"/>
    <col min="5895" max="5895" width="11" customWidth="1"/>
    <col min="5896" max="5896" width="9.75" customWidth="1"/>
    <col min="5897" max="5897" width="11" bestFit="1" customWidth="1"/>
    <col min="5898" max="5898" width="10.125" bestFit="1" customWidth="1"/>
    <col min="5899" max="5899" width="10.125" customWidth="1"/>
    <col min="5900" max="5900" width="10.125" bestFit="1" customWidth="1"/>
    <col min="5901" max="5901" width="11" bestFit="1" customWidth="1"/>
    <col min="5902" max="5903" width="10.125" bestFit="1" customWidth="1"/>
    <col min="5904" max="5904" width="11" bestFit="1" customWidth="1"/>
    <col min="5905" max="5905" width="10.25" customWidth="1"/>
    <col min="5906" max="5906" width="11" customWidth="1"/>
    <col min="5907" max="5907" width="11.875" bestFit="1" customWidth="1"/>
    <col min="5908" max="5908" width="8.375" customWidth="1"/>
    <col min="6145" max="6145" width="4.875" customWidth="1"/>
    <col min="6146" max="6146" width="31.25" customWidth="1"/>
    <col min="6147" max="6147" width="10.125" bestFit="1" customWidth="1"/>
    <col min="6148" max="6150" width="11" bestFit="1" customWidth="1"/>
    <col min="6151" max="6151" width="11" customWidth="1"/>
    <col min="6152" max="6152" width="9.75" customWidth="1"/>
    <col min="6153" max="6153" width="11" bestFit="1" customWidth="1"/>
    <col min="6154" max="6154" width="10.125" bestFit="1" customWidth="1"/>
    <col min="6155" max="6155" width="10.125" customWidth="1"/>
    <col min="6156" max="6156" width="10.125" bestFit="1" customWidth="1"/>
    <col min="6157" max="6157" width="11" bestFit="1" customWidth="1"/>
    <col min="6158" max="6159" width="10.125" bestFit="1" customWidth="1"/>
    <col min="6160" max="6160" width="11" bestFit="1" customWidth="1"/>
    <col min="6161" max="6161" width="10.25" customWidth="1"/>
    <col min="6162" max="6162" width="11" customWidth="1"/>
    <col min="6163" max="6163" width="11.875" bestFit="1" customWidth="1"/>
    <col min="6164" max="6164" width="8.375" customWidth="1"/>
    <col min="6401" max="6401" width="4.875" customWidth="1"/>
    <col min="6402" max="6402" width="31.25" customWidth="1"/>
    <col min="6403" max="6403" width="10.125" bestFit="1" customWidth="1"/>
    <col min="6404" max="6406" width="11" bestFit="1" customWidth="1"/>
    <col min="6407" max="6407" width="11" customWidth="1"/>
    <col min="6408" max="6408" width="9.75" customWidth="1"/>
    <col min="6409" max="6409" width="11" bestFit="1" customWidth="1"/>
    <col min="6410" max="6410" width="10.125" bestFit="1" customWidth="1"/>
    <col min="6411" max="6411" width="10.125" customWidth="1"/>
    <col min="6412" max="6412" width="10.125" bestFit="1" customWidth="1"/>
    <col min="6413" max="6413" width="11" bestFit="1" customWidth="1"/>
    <col min="6414" max="6415" width="10.125" bestFit="1" customWidth="1"/>
    <col min="6416" max="6416" width="11" bestFit="1" customWidth="1"/>
    <col min="6417" max="6417" width="10.25" customWidth="1"/>
    <col min="6418" max="6418" width="11" customWidth="1"/>
    <col min="6419" max="6419" width="11.875" bestFit="1" customWidth="1"/>
    <col min="6420" max="6420" width="8.375" customWidth="1"/>
    <col min="6657" max="6657" width="4.875" customWidth="1"/>
    <col min="6658" max="6658" width="31.25" customWidth="1"/>
    <col min="6659" max="6659" width="10.125" bestFit="1" customWidth="1"/>
    <col min="6660" max="6662" width="11" bestFit="1" customWidth="1"/>
    <col min="6663" max="6663" width="11" customWidth="1"/>
    <col min="6664" max="6664" width="9.75" customWidth="1"/>
    <col min="6665" max="6665" width="11" bestFit="1" customWidth="1"/>
    <col min="6666" max="6666" width="10.125" bestFit="1" customWidth="1"/>
    <col min="6667" max="6667" width="10.125" customWidth="1"/>
    <col min="6668" max="6668" width="10.125" bestFit="1" customWidth="1"/>
    <col min="6669" max="6669" width="11" bestFit="1" customWidth="1"/>
    <col min="6670" max="6671" width="10.125" bestFit="1" customWidth="1"/>
    <col min="6672" max="6672" width="11" bestFit="1" customWidth="1"/>
    <col min="6673" max="6673" width="10.25" customWidth="1"/>
    <col min="6674" max="6674" width="11" customWidth="1"/>
    <col min="6675" max="6675" width="11.875" bestFit="1" customWidth="1"/>
    <col min="6676" max="6676" width="8.375" customWidth="1"/>
    <col min="6913" max="6913" width="4.875" customWidth="1"/>
    <col min="6914" max="6914" width="31.25" customWidth="1"/>
    <col min="6915" max="6915" width="10.125" bestFit="1" customWidth="1"/>
    <col min="6916" max="6918" width="11" bestFit="1" customWidth="1"/>
    <col min="6919" max="6919" width="11" customWidth="1"/>
    <col min="6920" max="6920" width="9.75" customWidth="1"/>
    <col min="6921" max="6921" width="11" bestFit="1" customWidth="1"/>
    <col min="6922" max="6922" width="10.125" bestFit="1" customWidth="1"/>
    <col min="6923" max="6923" width="10.125" customWidth="1"/>
    <col min="6924" max="6924" width="10.125" bestFit="1" customWidth="1"/>
    <col min="6925" max="6925" width="11" bestFit="1" customWidth="1"/>
    <col min="6926" max="6927" width="10.125" bestFit="1" customWidth="1"/>
    <col min="6928" max="6928" width="11" bestFit="1" customWidth="1"/>
    <col min="6929" max="6929" width="10.25" customWidth="1"/>
    <col min="6930" max="6930" width="11" customWidth="1"/>
    <col min="6931" max="6931" width="11.875" bestFit="1" customWidth="1"/>
    <col min="6932" max="6932" width="8.375" customWidth="1"/>
    <col min="7169" max="7169" width="4.875" customWidth="1"/>
    <col min="7170" max="7170" width="31.25" customWidth="1"/>
    <col min="7171" max="7171" width="10.125" bestFit="1" customWidth="1"/>
    <col min="7172" max="7174" width="11" bestFit="1" customWidth="1"/>
    <col min="7175" max="7175" width="11" customWidth="1"/>
    <col min="7176" max="7176" width="9.75" customWidth="1"/>
    <col min="7177" max="7177" width="11" bestFit="1" customWidth="1"/>
    <col min="7178" max="7178" width="10.125" bestFit="1" customWidth="1"/>
    <col min="7179" max="7179" width="10.125" customWidth="1"/>
    <col min="7180" max="7180" width="10.125" bestFit="1" customWidth="1"/>
    <col min="7181" max="7181" width="11" bestFit="1" customWidth="1"/>
    <col min="7182" max="7183" width="10.125" bestFit="1" customWidth="1"/>
    <col min="7184" max="7184" width="11" bestFit="1" customWidth="1"/>
    <col min="7185" max="7185" width="10.25" customWidth="1"/>
    <col min="7186" max="7186" width="11" customWidth="1"/>
    <col min="7187" max="7187" width="11.875" bestFit="1" customWidth="1"/>
    <col min="7188" max="7188" width="8.375" customWidth="1"/>
    <col min="7425" max="7425" width="4.875" customWidth="1"/>
    <col min="7426" max="7426" width="31.25" customWidth="1"/>
    <col min="7427" max="7427" width="10.125" bestFit="1" customWidth="1"/>
    <col min="7428" max="7430" width="11" bestFit="1" customWidth="1"/>
    <col min="7431" max="7431" width="11" customWidth="1"/>
    <col min="7432" max="7432" width="9.75" customWidth="1"/>
    <col min="7433" max="7433" width="11" bestFit="1" customWidth="1"/>
    <col min="7434" max="7434" width="10.125" bestFit="1" customWidth="1"/>
    <col min="7435" max="7435" width="10.125" customWidth="1"/>
    <col min="7436" max="7436" width="10.125" bestFit="1" customWidth="1"/>
    <col min="7437" max="7437" width="11" bestFit="1" customWidth="1"/>
    <col min="7438" max="7439" width="10.125" bestFit="1" customWidth="1"/>
    <col min="7440" max="7440" width="11" bestFit="1" customWidth="1"/>
    <col min="7441" max="7441" width="10.25" customWidth="1"/>
    <col min="7442" max="7442" width="11" customWidth="1"/>
    <col min="7443" max="7443" width="11.875" bestFit="1" customWidth="1"/>
    <col min="7444" max="7444" width="8.375" customWidth="1"/>
    <col min="7681" max="7681" width="4.875" customWidth="1"/>
    <col min="7682" max="7682" width="31.25" customWidth="1"/>
    <col min="7683" max="7683" width="10.125" bestFit="1" customWidth="1"/>
    <col min="7684" max="7686" width="11" bestFit="1" customWidth="1"/>
    <col min="7687" max="7687" width="11" customWidth="1"/>
    <col min="7688" max="7688" width="9.75" customWidth="1"/>
    <col min="7689" max="7689" width="11" bestFit="1" customWidth="1"/>
    <col min="7690" max="7690" width="10.125" bestFit="1" customWidth="1"/>
    <col min="7691" max="7691" width="10.125" customWidth="1"/>
    <col min="7692" max="7692" width="10.125" bestFit="1" customWidth="1"/>
    <col min="7693" max="7693" width="11" bestFit="1" customWidth="1"/>
    <col min="7694" max="7695" width="10.125" bestFit="1" customWidth="1"/>
    <col min="7696" max="7696" width="11" bestFit="1" customWidth="1"/>
    <col min="7697" max="7697" width="10.25" customWidth="1"/>
    <col min="7698" max="7698" width="11" customWidth="1"/>
    <col min="7699" max="7699" width="11.875" bestFit="1" customWidth="1"/>
    <col min="7700" max="7700" width="8.375" customWidth="1"/>
    <col min="7937" max="7937" width="4.875" customWidth="1"/>
    <col min="7938" max="7938" width="31.25" customWidth="1"/>
    <col min="7939" max="7939" width="10.125" bestFit="1" customWidth="1"/>
    <col min="7940" max="7942" width="11" bestFit="1" customWidth="1"/>
    <col min="7943" max="7943" width="11" customWidth="1"/>
    <col min="7944" max="7944" width="9.75" customWidth="1"/>
    <col min="7945" max="7945" width="11" bestFit="1" customWidth="1"/>
    <col min="7946" max="7946" width="10.125" bestFit="1" customWidth="1"/>
    <col min="7947" max="7947" width="10.125" customWidth="1"/>
    <col min="7948" max="7948" width="10.125" bestFit="1" customWidth="1"/>
    <col min="7949" max="7949" width="11" bestFit="1" customWidth="1"/>
    <col min="7950" max="7951" width="10.125" bestFit="1" customWidth="1"/>
    <col min="7952" max="7952" width="11" bestFit="1" customWidth="1"/>
    <col min="7953" max="7953" width="10.25" customWidth="1"/>
    <col min="7954" max="7954" width="11" customWidth="1"/>
    <col min="7955" max="7955" width="11.875" bestFit="1" customWidth="1"/>
    <col min="7956" max="7956" width="8.375" customWidth="1"/>
    <col min="8193" max="8193" width="4.875" customWidth="1"/>
    <col min="8194" max="8194" width="31.25" customWidth="1"/>
    <col min="8195" max="8195" width="10.125" bestFit="1" customWidth="1"/>
    <col min="8196" max="8198" width="11" bestFit="1" customWidth="1"/>
    <col min="8199" max="8199" width="11" customWidth="1"/>
    <col min="8200" max="8200" width="9.75" customWidth="1"/>
    <col min="8201" max="8201" width="11" bestFit="1" customWidth="1"/>
    <col min="8202" max="8202" width="10.125" bestFit="1" customWidth="1"/>
    <col min="8203" max="8203" width="10.125" customWidth="1"/>
    <col min="8204" max="8204" width="10.125" bestFit="1" customWidth="1"/>
    <col min="8205" max="8205" width="11" bestFit="1" customWidth="1"/>
    <col min="8206" max="8207" width="10.125" bestFit="1" customWidth="1"/>
    <col min="8208" max="8208" width="11" bestFit="1" customWidth="1"/>
    <col min="8209" max="8209" width="10.25" customWidth="1"/>
    <col min="8210" max="8210" width="11" customWidth="1"/>
    <col min="8211" max="8211" width="11.875" bestFit="1" customWidth="1"/>
    <col min="8212" max="8212" width="8.375" customWidth="1"/>
    <col min="8449" max="8449" width="4.875" customWidth="1"/>
    <col min="8450" max="8450" width="31.25" customWidth="1"/>
    <col min="8451" max="8451" width="10.125" bestFit="1" customWidth="1"/>
    <col min="8452" max="8454" width="11" bestFit="1" customWidth="1"/>
    <col min="8455" max="8455" width="11" customWidth="1"/>
    <col min="8456" max="8456" width="9.75" customWidth="1"/>
    <col min="8457" max="8457" width="11" bestFit="1" customWidth="1"/>
    <col min="8458" max="8458" width="10.125" bestFit="1" customWidth="1"/>
    <col min="8459" max="8459" width="10.125" customWidth="1"/>
    <col min="8460" max="8460" width="10.125" bestFit="1" customWidth="1"/>
    <col min="8461" max="8461" width="11" bestFit="1" customWidth="1"/>
    <col min="8462" max="8463" width="10.125" bestFit="1" customWidth="1"/>
    <col min="8464" max="8464" width="11" bestFit="1" customWidth="1"/>
    <col min="8465" max="8465" width="10.25" customWidth="1"/>
    <col min="8466" max="8466" width="11" customWidth="1"/>
    <col min="8467" max="8467" width="11.875" bestFit="1" customWidth="1"/>
    <col min="8468" max="8468" width="8.375" customWidth="1"/>
    <col min="8705" max="8705" width="4.875" customWidth="1"/>
    <col min="8706" max="8706" width="31.25" customWidth="1"/>
    <col min="8707" max="8707" width="10.125" bestFit="1" customWidth="1"/>
    <col min="8708" max="8710" width="11" bestFit="1" customWidth="1"/>
    <col min="8711" max="8711" width="11" customWidth="1"/>
    <col min="8712" max="8712" width="9.75" customWidth="1"/>
    <col min="8713" max="8713" width="11" bestFit="1" customWidth="1"/>
    <col min="8714" max="8714" width="10.125" bestFit="1" customWidth="1"/>
    <col min="8715" max="8715" width="10.125" customWidth="1"/>
    <col min="8716" max="8716" width="10.125" bestFit="1" customWidth="1"/>
    <col min="8717" max="8717" width="11" bestFit="1" customWidth="1"/>
    <col min="8718" max="8719" width="10.125" bestFit="1" customWidth="1"/>
    <col min="8720" max="8720" width="11" bestFit="1" customWidth="1"/>
    <col min="8721" max="8721" width="10.25" customWidth="1"/>
    <col min="8722" max="8722" width="11" customWidth="1"/>
    <col min="8723" max="8723" width="11.875" bestFit="1" customWidth="1"/>
    <col min="8724" max="8724" width="8.375" customWidth="1"/>
    <col min="8961" max="8961" width="4.875" customWidth="1"/>
    <col min="8962" max="8962" width="31.25" customWidth="1"/>
    <col min="8963" max="8963" width="10.125" bestFit="1" customWidth="1"/>
    <col min="8964" max="8966" width="11" bestFit="1" customWidth="1"/>
    <col min="8967" max="8967" width="11" customWidth="1"/>
    <col min="8968" max="8968" width="9.75" customWidth="1"/>
    <col min="8969" max="8969" width="11" bestFit="1" customWidth="1"/>
    <col min="8970" max="8970" width="10.125" bestFit="1" customWidth="1"/>
    <col min="8971" max="8971" width="10.125" customWidth="1"/>
    <col min="8972" max="8972" width="10.125" bestFit="1" customWidth="1"/>
    <col min="8973" max="8973" width="11" bestFit="1" customWidth="1"/>
    <col min="8974" max="8975" width="10.125" bestFit="1" customWidth="1"/>
    <col min="8976" max="8976" width="11" bestFit="1" customWidth="1"/>
    <col min="8977" max="8977" width="10.25" customWidth="1"/>
    <col min="8978" max="8978" width="11" customWidth="1"/>
    <col min="8979" max="8979" width="11.875" bestFit="1" customWidth="1"/>
    <col min="8980" max="8980" width="8.375" customWidth="1"/>
    <col min="9217" max="9217" width="4.875" customWidth="1"/>
    <col min="9218" max="9218" width="31.25" customWidth="1"/>
    <col min="9219" max="9219" width="10.125" bestFit="1" customWidth="1"/>
    <col min="9220" max="9222" width="11" bestFit="1" customWidth="1"/>
    <col min="9223" max="9223" width="11" customWidth="1"/>
    <col min="9224" max="9224" width="9.75" customWidth="1"/>
    <col min="9225" max="9225" width="11" bestFit="1" customWidth="1"/>
    <col min="9226" max="9226" width="10.125" bestFit="1" customWidth="1"/>
    <col min="9227" max="9227" width="10.125" customWidth="1"/>
    <col min="9228" max="9228" width="10.125" bestFit="1" customWidth="1"/>
    <col min="9229" max="9229" width="11" bestFit="1" customWidth="1"/>
    <col min="9230" max="9231" width="10.125" bestFit="1" customWidth="1"/>
    <col min="9232" max="9232" width="11" bestFit="1" customWidth="1"/>
    <col min="9233" max="9233" width="10.25" customWidth="1"/>
    <col min="9234" max="9234" width="11" customWidth="1"/>
    <col min="9235" max="9235" width="11.875" bestFit="1" customWidth="1"/>
    <col min="9236" max="9236" width="8.375" customWidth="1"/>
    <col min="9473" max="9473" width="4.875" customWidth="1"/>
    <col min="9474" max="9474" width="31.25" customWidth="1"/>
    <col min="9475" max="9475" width="10.125" bestFit="1" customWidth="1"/>
    <col min="9476" max="9478" width="11" bestFit="1" customWidth="1"/>
    <col min="9479" max="9479" width="11" customWidth="1"/>
    <col min="9480" max="9480" width="9.75" customWidth="1"/>
    <col min="9481" max="9481" width="11" bestFit="1" customWidth="1"/>
    <col min="9482" max="9482" width="10.125" bestFit="1" customWidth="1"/>
    <col min="9483" max="9483" width="10.125" customWidth="1"/>
    <col min="9484" max="9484" width="10.125" bestFit="1" customWidth="1"/>
    <col min="9485" max="9485" width="11" bestFit="1" customWidth="1"/>
    <col min="9486" max="9487" width="10.125" bestFit="1" customWidth="1"/>
    <col min="9488" max="9488" width="11" bestFit="1" customWidth="1"/>
    <col min="9489" max="9489" width="10.25" customWidth="1"/>
    <col min="9490" max="9490" width="11" customWidth="1"/>
    <col min="9491" max="9491" width="11.875" bestFit="1" customWidth="1"/>
    <col min="9492" max="9492" width="8.375" customWidth="1"/>
    <col min="9729" max="9729" width="4.875" customWidth="1"/>
    <col min="9730" max="9730" width="31.25" customWidth="1"/>
    <col min="9731" max="9731" width="10.125" bestFit="1" customWidth="1"/>
    <col min="9732" max="9734" width="11" bestFit="1" customWidth="1"/>
    <col min="9735" max="9735" width="11" customWidth="1"/>
    <col min="9736" max="9736" width="9.75" customWidth="1"/>
    <col min="9737" max="9737" width="11" bestFit="1" customWidth="1"/>
    <col min="9738" max="9738" width="10.125" bestFit="1" customWidth="1"/>
    <col min="9739" max="9739" width="10.125" customWidth="1"/>
    <col min="9740" max="9740" width="10.125" bestFit="1" customWidth="1"/>
    <col min="9741" max="9741" width="11" bestFit="1" customWidth="1"/>
    <col min="9742" max="9743" width="10.125" bestFit="1" customWidth="1"/>
    <col min="9744" max="9744" width="11" bestFit="1" customWidth="1"/>
    <col min="9745" max="9745" width="10.25" customWidth="1"/>
    <col min="9746" max="9746" width="11" customWidth="1"/>
    <col min="9747" max="9747" width="11.875" bestFit="1" customWidth="1"/>
    <col min="9748" max="9748" width="8.375" customWidth="1"/>
    <col min="9985" max="9985" width="4.875" customWidth="1"/>
    <col min="9986" max="9986" width="31.25" customWidth="1"/>
    <col min="9987" max="9987" width="10.125" bestFit="1" customWidth="1"/>
    <col min="9988" max="9990" width="11" bestFit="1" customWidth="1"/>
    <col min="9991" max="9991" width="11" customWidth="1"/>
    <col min="9992" max="9992" width="9.75" customWidth="1"/>
    <col min="9993" max="9993" width="11" bestFit="1" customWidth="1"/>
    <col min="9994" max="9994" width="10.125" bestFit="1" customWidth="1"/>
    <col min="9995" max="9995" width="10.125" customWidth="1"/>
    <col min="9996" max="9996" width="10.125" bestFit="1" customWidth="1"/>
    <col min="9997" max="9997" width="11" bestFit="1" customWidth="1"/>
    <col min="9998" max="9999" width="10.125" bestFit="1" customWidth="1"/>
    <col min="10000" max="10000" width="11" bestFit="1" customWidth="1"/>
    <col min="10001" max="10001" width="10.25" customWidth="1"/>
    <col min="10002" max="10002" width="11" customWidth="1"/>
    <col min="10003" max="10003" width="11.875" bestFit="1" customWidth="1"/>
    <col min="10004" max="10004" width="8.375" customWidth="1"/>
    <col min="10241" max="10241" width="4.875" customWidth="1"/>
    <col min="10242" max="10242" width="31.25" customWidth="1"/>
    <col min="10243" max="10243" width="10.125" bestFit="1" customWidth="1"/>
    <col min="10244" max="10246" width="11" bestFit="1" customWidth="1"/>
    <col min="10247" max="10247" width="11" customWidth="1"/>
    <col min="10248" max="10248" width="9.75" customWidth="1"/>
    <col min="10249" max="10249" width="11" bestFit="1" customWidth="1"/>
    <col min="10250" max="10250" width="10.125" bestFit="1" customWidth="1"/>
    <col min="10251" max="10251" width="10.125" customWidth="1"/>
    <col min="10252" max="10252" width="10.125" bestFit="1" customWidth="1"/>
    <col min="10253" max="10253" width="11" bestFit="1" customWidth="1"/>
    <col min="10254" max="10255" width="10.125" bestFit="1" customWidth="1"/>
    <col min="10256" max="10256" width="11" bestFit="1" customWidth="1"/>
    <col min="10257" max="10257" width="10.25" customWidth="1"/>
    <col min="10258" max="10258" width="11" customWidth="1"/>
    <col min="10259" max="10259" width="11.875" bestFit="1" customWidth="1"/>
    <col min="10260" max="10260" width="8.375" customWidth="1"/>
    <col min="10497" max="10497" width="4.875" customWidth="1"/>
    <col min="10498" max="10498" width="31.25" customWidth="1"/>
    <col min="10499" max="10499" width="10.125" bestFit="1" customWidth="1"/>
    <col min="10500" max="10502" width="11" bestFit="1" customWidth="1"/>
    <col min="10503" max="10503" width="11" customWidth="1"/>
    <col min="10504" max="10504" width="9.75" customWidth="1"/>
    <col min="10505" max="10505" width="11" bestFit="1" customWidth="1"/>
    <col min="10506" max="10506" width="10.125" bestFit="1" customWidth="1"/>
    <col min="10507" max="10507" width="10.125" customWidth="1"/>
    <col min="10508" max="10508" width="10.125" bestFit="1" customWidth="1"/>
    <col min="10509" max="10509" width="11" bestFit="1" customWidth="1"/>
    <col min="10510" max="10511" width="10.125" bestFit="1" customWidth="1"/>
    <col min="10512" max="10512" width="11" bestFit="1" customWidth="1"/>
    <col min="10513" max="10513" width="10.25" customWidth="1"/>
    <col min="10514" max="10514" width="11" customWidth="1"/>
    <col min="10515" max="10515" width="11.875" bestFit="1" customWidth="1"/>
    <col min="10516" max="10516" width="8.375" customWidth="1"/>
    <col min="10753" max="10753" width="4.875" customWidth="1"/>
    <col min="10754" max="10754" width="31.25" customWidth="1"/>
    <col min="10755" max="10755" width="10.125" bestFit="1" customWidth="1"/>
    <col min="10756" max="10758" width="11" bestFit="1" customWidth="1"/>
    <col min="10759" max="10759" width="11" customWidth="1"/>
    <col min="10760" max="10760" width="9.75" customWidth="1"/>
    <col min="10761" max="10761" width="11" bestFit="1" customWidth="1"/>
    <col min="10762" max="10762" width="10.125" bestFit="1" customWidth="1"/>
    <col min="10763" max="10763" width="10.125" customWidth="1"/>
    <col min="10764" max="10764" width="10.125" bestFit="1" customWidth="1"/>
    <col min="10765" max="10765" width="11" bestFit="1" customWidth="1"/>
    <col min="10766" max="10767" width="10.125" bestFit="1" customWidth="1"/>
    <col min="10768" max="10768" width="11" bestFit="1" customWidth="1"/>
    <col min="10769" max="10769" width="10.25" customWidth="1"/>
    <col min="10770" max="10770" width="11" customWidth="1"/>
    <col min="10771" max="10771" width="11.875" bestFit="1" customWidth="1"/>
    <col min="10772" max="10772" width="8.375" customWidth="1"/>
    <col min="11009" max="11009" width="4.875" customWidth="1"/>
    <col min="11010" max="11010" width="31.25" customWidth="1"/>
    <col min="11011" max="11011" width="10.125" bestFit="1" customWidth="1"/>
    <col min="11012" max="11014" width="11" bestFit="1" customWidth="1"/>
    <col min="11015" max="11015" width="11" customWidth="1"/>
    <col min="11016" max="11016" width="9.75" customWidth="1"/>
    <col min="11017" max="11017" width="11" bestFit="1" customWidth="1"/>
    <col min="11018" max="11018" width="10.125" bestFit="1" customWidth="1"/>
    <col min="11019" max="11019" width="10.125" customWidth="1"/>
    <col min="11020" max="11020" width="10.125" bestFit="1" customWidth="1"/>
    <col min="11021" max="11021" width="11" bestFit="1" customWidth="1"/>
    <col min="11022" max="11023" width="10.125" bestFit="1" customWidth="1"/>
    <col min="11024" max="11024" width="11" bestFit="1" customWidth="1"/>
    <col min="11025" max="11025" width="10.25" customWidth="1"/>
    <col min="11026" max="11026" width="11" customWidth="1"/>
    <col min="11027" max="11027" width="11.875" bestFit="1" customWidth="1"/>
    <col min="11028" max="11028" width="8.375" customWidth="1"/>
    <col min="11265" max="11265" width="4.875" customWidth="1"/>
    <col min="11266" max="11266" width="31.25" customWidth="1"/>
    <col min="11267" max="11267" width="10.125" bestFit="1" customWidth="1"/>
    <col min="11268" max="11270" width="11" bestFit="1" customWidth="1"/>
    <col min="11271" max="11271" width="11" customWidth="1"/>
    <col min="11272" max="11272" width="9.75" customWidth="1"/>
    <col min="11273" max="11273" width="11" bestFit="1" customWidth="1"/>
    <col min="11274" max="11274" width="10.125" bestFit="1" customWidth="1"/>
    <col min="11275" max="11275" width="10.125" customWidth="1"/>
    <col min="11276" max="11276" width="10.125" bestFit="1" customWidth="1"/>
    <col min="11277" max="11277" width="11" bestFit="1" customWidth="1"/>
    <col min="11278" max="11279" width="10.125" bestFit="1" customWidth="1"/>
    <col min="11280" max="11280" width="11" bestFit="1" customWidth="1"/>
    <col min="11281" max="11281" width="10.25" customWidth="1"/>
    <col min="11282" max="11282" width="11" customWidth="1"/>
    <col min="11283" max="11283" width="11.875" bestFit="1" customWidth="1"/>
    <col min="11284" max="11284" width="8.375" customWidth="1"/>
    <col min="11521" max="11521" width="4.875" customWidth="1"/>
    <col min="11522" max="11522" width="31.25" customWidth="1"/>
    <col min="11523" max="11523" width="10.125" bestFit="1" customWidth="1"/>
    <col min="11524" max="11526" width="11" bestFit="1" customWidth="1"/>
    <col min="11527" max="11527" width="11" customWidth="1"/>
    <col min="11528" max="11528" width="9.75" customWidth="1"/>
    <col min="11529" max="11529" width="11" bestFit="1" customWidth="1"/>
    <col min="11530" max="11530" width="10.125" bestFit="1" customWidth="1"/>
    <col min="11531" max="11531" width="10.125" customWidth="1"/>
    <col min="11532" max="11532" width="10.125" bestFit="1" customWidth="1"/>
    <col min="11533" max="11533" width="11" bestFit="1" customWidth="1"/>
    <col min="11534" max="11535" width="10.125" bestFit="1" customWidth="1"/>
    <col min="11536" max="11536" width="11" bestFit="1" customWidth="1"/>
    <col min="11537" max="11537" width="10.25" customWidth="1"/>
    <col min="11538" max="11538" width="11" customWidth="1"/>
    <col min="11539" max="11539" width="11.875" bestFit="1" customWidth="1"/>
    <col min="11540" max="11540" width="8.375" customWidth="1"/>
    <col min="11777" max="11777" width="4.875" customWidth="1"/>
    <col min="11778" max="11778" width="31.25" customWidth="1"/>
    <col min="11779" max="11779" width="10.125" bestFit="1" customWidth="1"/>
    <col min="11780" max="11782" width="11" bestFit="1" customWidth="1"/>
    <col min="11783" max="11783" width="11" customWidth="1"/>
    <col min="11784" max="11784" width="9.75" customWidth="1"/>
    <col min="11785" max="11785" width="11" bestFit="1" customWidth="1"/>
    <col min="11786" max="11786" width="10.125" bestFit="1" customWidth="1"/>
    <col min="11787" max="11787" width="10.125" customWidth="1"/>
    <col min="11788" max="11788" width="10.125" bestFit="1" customWidth="1"/>
    <col min="11789" max="11789" width="11" bestFit="1" customWidth="1"/>
    <col min="11790" max="11791" width="10.125" bestFit="1" customWidth="1"/>
    <col min="11792" max="11792" width="11" bestFit="1" customWidth="1"/>
    <col min="11793" max="11793" width="10.25" customWidth="1"/>
    <col min="11794" max="11794" width="11" customWidth="1"/>
    <col min="11795" max="11795" width="11.875" bestFit="1" customWidth="1"/>
    <col min="11796" max="11796" width="8.375" customWidth="1"/>
    <col min="12033" max="12033" width="4.875" customWidth="1"/>
    <col min="12034" max="12034" width="31.25" customWidth="1"/>
    <col min="12035" max="12035" width="10.125" bestFit="1" customWidth="1"/>
    <col min="12036" max="12038" width="11" bestFit="1" customWidth="1"/>
    <col min="12039" max="12039" width="11" customWidth="1"/>
    <col min="12040" max="12040" width="9.75" customWidth="1"/>
    <col min="12041" max="12041" width="11" bestFit="1" customWidth="1"/>
    <col min="12042" max="12042" width="10.125" bestFit="1" customWidth="1"/>
    <col min="12043" max="12043" width="10.125" customWidth="1"/>
    <col min="12044" max="12044" width="10.125" bestFit="1" customWidth="1"/>
    <col min="12045" max="12045" width="11" bestFit="1" customWidth="1"/>
    <col min="12046" max="12047" width="10.125" bestFit="1" customWidth="1"/>
    <col min="12048" max="12048" width="11" bestFit="1" customWidth="1"/>
    <col min="12049" max="12049" width="10.25" customWidth="1"/>
    <col min="12050" max="12050" width="11" customWidth="1"/>
    <col min="12051" max="12051" width="11.875" bestFit="1" customWidth="1"/>
    <col min="12052" max="12052" width="8.375" customWidth="1"/>
    <col min="12289" max="12289" width="4.875" customWidth="1"/>
    <col min="12290" max="12290" width="31.25" customWidth="1"/>
    <col min="12291" max="12291" width="10.125" bestFit="1" customWidth="1"/>
    <col min="12292" max="12294" width="11" bestFit="1" customWidth="1"/>
    <col min="12295" max="12295" width="11" customWidth="1"/>
    <col min="12296" max="12296" width="9.75" customWidth="1"/>
    <col min="12297" max="12297" width="11" bestFit="1" customWidth="1"/>
    <col min="12298" max="12298" width="10.125" bestFit="1" customWidth="1"/>
    <col min="12299" max="12299" width="10.125" customWidth="1"/>
    <col min="12300" max="12300" width="10.125" bestFit="1" customWidth="1"/>
    <col min="12301" max="12301" width="11" bestFit="1" customWidth="1"/>
    <col min="12302" max="12303" width="10.125" bestFit="1" customWidth="1"/>
    <col min="12304" max="12304" width="11" bestFit="1" customWidth="1"/>
    <col min="12305" max="12305" width="10.25" customWidth="1"/>
    <col min="12306" max="12306" width="11" customWidth="1"/>
    <col min="12307" max="12307" width="11.875" bestFit="1" customWidth="1"/>
    <col min="12308" max="12308" width="8.375" customWidth="1"/>
    <col min="12545" max="12545" width="4.875" customWidth="1"/>
    <col min="12546" max="12546" width="31.25" customWidth="1"/>
    <col min="12547" max="12547" width="10.125" bestFit="1" customWidth="1"/>
    <col min="12548" max="12550" width="11" bestFit="1" customWidth="1"/>
    <col min="12551" max="12551" width="11" customWidth="1"/>
    <col min="12552" max="12552" width="9.75" customWidth="1"/>
    <col min="12553" max="12553" width="11" bestFit="1" customWidth="1"/>
    <col min="12554" max="12554" width="10.125" bestFit="1" customWidth="1"/>
    <col min="12555" max="12555" width="10.125" customWidth="1"/>
    <col min="12556" max="12556" width="10.125" bestFit="1" customWidth="1"/>
    <col min="12557" max="12557" width="11" bestFit="1" customWidth="1"/>
    <col min="12558" max="12559" width="10.125" bestFit="1" customWidth="1"/>
    <col min="12560" max="12560" width="11" bestFit="1" customWidth="1"/>
    <col min="12561" max="12561" width="10.25" customWidth="1"/>
    <col min="12562" max="12562" width="11" customWidth="1"/>
    <col min="12563" max="12563" width="11.875" bestFit="1" customWidth="1"/>
    <col min="12564" max="12564" width="8.375" customWidth="1"/>
    <col min="12801" max="12801" width="4.875" customWidth="1"/>
    <col min="12802" max="12802" width="31.25" customWidth="1"/>
    <col min="12803" max="12803" width="10.125" bestFit="1" customWidth="1"/>
    <col min="12804" max="12806" width="11" bestFit="1" customWidth="1"/>
    <col min="12807" max="12807" width="11" customWidth="1"/>
    <col min="12808" max="12808" width="9.75" customWidth="1"/>
    <col min="12809" max="12809" width="11" bestFit="1" customWidth="1"/>
    <col min="12810" max="12810" width="10.125" bestFit="1" customWidth="1"/>
    <col min="12811" max="12811" width="10.125" customWidth="1"/>
    <col min="12812" max="12812" width="10.125" bestFit="1" customWidth="1"/>
    <col min="12813" max="12813" width="11" bestFit="1" customWidth="1"/>
    <col min="12814" max="12815" width="10.125" bestFit="1" customWidth="1"/>
    <col min="12816" max="12816" width="11" bestFit="1" customWidth="1"/>
    <col min="12817" max="12817" width="10.25" customWidth="1"/>
    <col min="12818" max="12818" width="11" customWidth="1"/>
    <col min="12819" max="12819" width="11.875" bestFit="1" customWidth="1"/>
    <col min="12820" max="12820" width="8.375" customWidth="1"/>
    <col min="13057" max="13057" width="4.875" customWidth="1"/>
    <col min="13058" max="13058" width="31.25" customWidth="1"/>
    <col min="13059" max="13059" width="10.125" bestFit="1" customWidth="1"/>
    <col min="13060" max="13062" width="11" bestFit="1" customWidth="1"/>
    <col min="13063" max="13063" width="11" customWidth="1"/>
    <col min="13064" max="13064" width="9.75" customWidth="1"/>
    <col min="13065" max="13065" width="11" bestFit="1" customWidth="1"/>
    <col min="13066" max="13066" width="10.125" bestFit="1" customWidth="1"/>
    <col min="13067" max="13067" width="10.125" customWidth="1"/>
    <col min="13068" max="13068" width="10.125" bestFit="1" customWidth="1"/>
    <col min="13069" max="13069" width="11" bestFit="1" customWidth="1"/>
    <col min="13070" max="13071" width="10.125" bestFit="1" customWidth="1"/>
    <col min="13072" max="13072" width="11" bestFit="1" customWidth="1"/>
    <col min="13073" max="13073" width="10.25" customWidth="1"/>
    <col min="13074" max="13074" width="11" customWidth="1"/>
    <col min="13075" max="13075" width="11.875" bestFit="1" customWidth="1"/>
    <col min="13076" max="13076" width="8.375" customWidth="1"/>
    <col min="13313" max="13313" width="4.875" customWidth="1"/>
    <col min="13314" max="13314" width="31.25" customWidth="1"/>
    <col min="13315" max="13315" width="10.125" bestFit="1" customWidth="1"/>
    <col min="13316" max="13318" width="11" bestFit="1" customWidth="1"/>
    <col min="13319" max="13319" width="11" customWidth="1"/>
    <col min="13320" max="13320" width="9.75" customWidth="1"/>
    <col min="13321" max="13321" width="11" bestFit="1" customWidth="1"/>
    <col min="13322" max="13322" width="10.125" bestFit="1" customWidth="1"/>
    <col min="13323" max="13323" width="10.125" customWidth="1"/>
    <col min="13324" max="13324" width="10.125" bestFit="1" customWidth="1"/>
    <col min="13325" max="13325" width="11" bestFit="1" customWidth="1"/>
    <col min="13326" max="13327" width="10.125" bestFit="1" customWidth="1"/>
    <col min="13328" max="13328" width="11" bestFit="1" customWidth="1"/>
    <col min="13329" max="13329" width="10.25" customWidth="1"/>
    <col min="13330" max="13330" width="11" customWidth="1"/>
    <col min="13331" max="13331" width="11.875" bestFit="1" customWidth="1"/>
    <col min="13332" max="13332" width="8.375" customWidth="1"/>
    <col min="13569" max="13569" width="4.875" customWidth="1"/>
    <col min="13570" max="13570" width="31.25" customWidth="1"/>
    <col min="13571" max="13571" width="10.125" bestFit="1" customWidth="1"/>
    <col min="13572" max="13574" width="11" bestFit="1" customWidth="1"/>
    <col min="13575" max="13575" width="11" customWidth="1"/>
    <col min="13576" max="13576" width="9.75" customWidth="1"/>
    <col min="13577" max="13577" width="11" bestFit="1" customWidth="1"/>
    <col min="13578" max="13578" width="10.125" bestFit="1" customWidth="1"/>
    <col min="13579" max="13579" width="10.125" customWidth="1"/>
    <col min="13580" max="13580" width="10.125" bestFit="1" customWidth="1"/>
    <col min="13581" max="13581" width="11" bestFit="1" customWidth="1"/>
    <col min="13582" max="13583" width="10.125" bestFit="1" customWidth="1"/>
    <col min="13584" max="13584" width="11" bestFit="1" customWidth="1"/>
    <col min="13585" max="13585" width="10.25" customWidth="1"/>
    <col min="13586" max="13586" width="11" customWidth="1"/>
    <col min="13587" max="13587" width="11.875" bestFit="1" customWidth="1"/>
    <col min="13588" max="13588" width="8.375" customWidth="1"/>
    <col min="13825" max="13825" width="4.875" customWidth="1"/>
    <col min="13826" max="13826" width="31.25" customWidth="1"/>
    <col min="13827" max="13827" width="10.125" bestFit="1" customWidth="1"/>
    <col min="13828" max="13830" width="11" bestFit="1" customWidth="1"/>
    <col min="13831" max="13831" width="11" customWidth="1"/>
    <col min="13832" max="13832" width="9.75" customWidth="1"/>
    <col min="13833" max="13833" width="11" bestFit="1" customWidth="1"/>
    <col min="13834" max="13834" width="10.125" bestFit="1" customWidth="1"/>
    <col min="13835" max="13835" width="10.125" customWidth="1"/>
    <col min="13836" max="13836" width="10.125" bestFit="1" customWidth="1"/>
    <col min="13837" max="13837" width="11" bestFit="1" customWidth="1"/>
    <col min="13838" max="13839" width="10.125" bestFit="1" customWidth="1"/>
    <col min="13840" max="13840" width="11" bestFit="1" customWidth="1"/>
    <col min="13841" max="13841" width="10.25" customWidth="1"/>
    <col min="13842" max="13842" width="11" customWidth="1"/>
    <col min="13843" max="13843" width="11.875" bestFit="1" customWidth="1"/>
    <col min="13844" max="13844" width="8.375" customWidth="1"/>
    <col min="14081" max="14081" width="4.875" customWidth="1"/>
    <col min="14082" max="14082" width="31.25" customWidth="1"/>
    <col min="14083" max="14083" width="10.125" bestFit="1" customWidth="1"/>
    <col min="14084" max="14086" width="11" bestFit="1" customWidth="1"/>
    <col min="14087" max="14087" width="11" customWidth="1"/>
    <col min="14088" max="14088" width="9.75" customWidth="1"/>
    <col min="14089" max="14089" width="11" bestFit="1" customWidth="1"/>
    <col min="14090" max="14090" width="10.125" bestFit="1" customWidth="1"/>
    <col min="14091" max="14091" width="10.125" customWidth="1"/>
    <col min="14092" max="14092" width="10.125" bestFit="1" customWidth="1"/>
    <col min="14093" max="14093" width="11" bestFit="1" customWidth="1"/>
    <col min="14094" max="14095" width="10.125" bestFit="1" customWidth="1"/>
    <col min="14096" max="14096" width="11" bestFit="1" customWidth="1"/>
    <col min="14097" max="14097" width="10.25" customWidth="1"/>
    <col min="14098" max="14098" width="11" customWidth="1"/>
    <col min="14099" max="14099" width="11.875" bestFit="1" customWidth="1"/>
    <col min="14100" max="14100" width="8.375" customWidth="1"/>
    <col min="14337" max="14337" width="4.875" customWidth="1"/>
    <col min="14338" max="14338" width="31.25" customWidth="1"/>
    <col min="14339" max="14339" width="10.125" bestFit="1" customWidth="1"/>
    <col min="14340" max="14342" width="11" bestFit="1" customWidth="1"/>
    <col min="14343" max="14343" width="11" customWidth="1"/>
    <col min="14344" max="14344" width="9.75" customWidth="1"/>
    <col min="14345" max="14345" width="11" bestFit="1" customWidth="1"/>
    <col min="14346" max="14346" width="10.125" bestFit="1" customWidth="1"/>
    <col min="14347" max="14347" width="10.125" customWidth="1"/>
    <col min="14348" max="14348" width="10.125" bestFit="1" customWidth="1"/>
    <col min="14349" max="14349" width="11" bestFit="1" customWidth="1"/>
    <col min="14350" max="14351" width="10.125" bestFit="1" customWidth="1"/>
    <col min="14352" max="14352" width="11" bestFit="1" customWidth="1"/>
    <col min="14353" max="14353" width="10.25" customWidth="1"/>
    <col min="14354" max="14354" width="11" customWidth="1"/>
    <col min="14355" max="14355" width="11.875" bestFit="1" customWidth="1"/>
    <col min="14356" max="14356" width="8.375" customWidth="1"/>
    <col min="14593" max="14593" width="4.875" customWidth="1"/>
    <col min="14594" max="14594" width="31.25" customWidth="1"/>
    <col min="14595" max="14595" width="10.125" bestFit="1" customWidth="1"/>
    <col min="14596" max="14598" width="11" bestFit="1" customWidth="1"/>
    <col min="14599" max="14599" width="11" customWidth="1"/>
    <col min="14600" max="14600" width="9.75" customWidth="1"/>
    <col min="14601" max="14601" width="11" bestFit="1" customWidth="1"/>
    <col min="14602" max="14602" width="10.125" bestFit="1" customWidth="1"/>
    <col min="14603" max="14603" width="10.125" customWidth="1"/>
    <col min="14604" max="14604" width="10.125" bestFit="1" customWidth="1"/>
    <col min="14605" max="14605" width="11" bestFit="1" customWidth="1"/>
    <col min="14606" max="14607" width="10.125" bestFit="1" customWidth="1"/>
    <col min="14608" max="14608" width="11" bestFit="1" customWidth="1"/>
    <col min="14609" max="14609" width="10.25" customWidth="1"/>
    <col min="14610" max="14610" width="11" customWidth="1"/>
    <col min="14611" max="14611" width="11.875" bestFit="1" customWidth="1"/>
    <col min="14612" max="14612" width="8.375" customWidth="1"/>
    <col min="14849" max="14849" width="4.875" customWidth="1"/>
    <col min="14850" max="14850" width="31.25" customWidth="1"/>
    <col min="14851" max="14851" width="10.125" bestFit="1" customWidth="1"/>
    <col min="14852" max="14854" width="11" bestFit="1" customWidth="1"/>
    <col min="14855" max="14855" width="11" customWidth="1"/>
    <col min="14856" max="14856" width="9.75" customWidth="1"/>
    <col min="14857" max="14857" width="11" bestFit="1" customWidth="1"/>
    <col min="14858" max="14858" width="10.125" bestFit="1" customWidth="1"/>
    <col min="14859" max="14859" width="10.125" customWidth="1"/>
    <col min="14860" max="14860" width="10.125" bestFit="1" customWidth="1"/>
    <col min="14861" max="14861" width="11" bestFit="1" customWidth="1"/>
    <col min="14862" max="14863" width="10.125" bestFit="1" customWidth="1"/>
    <col min="14864" max="14864" width="11" bestFit="1" customWidth="1"/>
    <col min="14865" max="14865" width="10.25" customWidth="1"/>
    <col min="14866" max="14866" width="11" customWidth="1"/>
    <col min="14867" max="14867" width="11.875" bestFit="1" customWidth="1"/>
    <col min="14868" max="14868" width="8.375" customWidth="1"/>
    <col min="15105" max="15105" width="4.875" customWidth="1"/>
    <col min="15106" max="15106" width="31.25" customWidth="1"/>
    <col min="15107" max="15107" width="10.125" bestFit="1" customWidth="1"/>
    <col min="15108" max="15110" width="11" bestFit="1" customWidth="1"/>
    <col min="15111" max="15111" width="11" customWidth="1"/>
    <col min="15112" max="15112" width="9.75" customWidth="1"/>
    <col min="15113" max="15113" width="11" bestFit="1" customWidth="1"/>
    <col min="15114" max="15114" width="10.125" bestFit="1" customWidth="1"/>
    <col min="15115" max="15115" width="10.125" customWidth="1"/>
    <col min="15116" max="15116" width="10.125" bestFit="1" customWidth="1"/>
    <col min="15117" max="15117" width="11" bestFit="1" customWidth="1"/>
    <col min="15118" max="15119" width="10.125" bestFit="1" customWidth="1"/>
    <col min="15120" max="15120" width="11" bestFit="1" customWidth="1"/>
    <col min="15121" max="15121" width="10.25" customWidth="1"/>
    <col min="15122" max="15122" width="11" customWidth="1"/>
    <col min="15123" max="15123" width="11.875" bestFit="1" customWidth="1"/>
    <col min="15124" max="15124" width="8.375" customWidth="1"/>
    <col min="15361" max="15361" width="4.875" customWidth="1"/>
    <col min="15362" max="15362" width="31.25" customWidth="1"/>
    <col min="15363" max="15363" width="10.125" bestFit="1" customWidth="1"/>
    <col min="15364" max="15366" width="11" bestFit="1" customWidth="1"/>
    <col min="15367" max="15367" width="11" customWidth="1"/>
    <col min="15368" max="15368" width="9.75" customWidth="1"/>
    <col min="15369" max="15369" width="11" bestFit="1" customWidth="1"/>
    <col min="15370" max="15370" width="10.125" bestFit="1" customWidth="1"/>
    <col min="15371" max="15371" width="10.125" customWidth="1"/>
    <col min="15372" max="15372" width="10.125" bestFit="1" customWidth="1"/>
    <col min="15373" max="15373" width="11" bestFit="1" customWidth="1"/>
    <col min="15374" max="15375" width="10.125" bestFit="1" customWidth="1"/>
    <col min="15376" max="15376" width="11" bestFit="1" customWidth="1"/>
    <col min="15377" max="15377" width="10.25" customWidth="1"/>
    <col min="15378" max="15378" width="11" customWidth="1"/>
    <col min="15379" max="15379" width="11.875" bestFit="1" customWidth="1"/>
    <col min="15380" max="15380" width="8.375" customWidth="1"/>
    <col min="15617" max="15617" width="4.875" customWidth="1"/>
    <col min="15618" max="15618" width="31.25" customWidth="1"/>
    <col min="15619" max="15619" width="10.125" bestFit="1" customWidth="1"/>
    <col min="15620" max="15622" width="11" bestFit="1" customWidth="1"/>
    <col min="15623" max="15623" width="11" customWidth="1"/>
    <col min="15624" max="15624" width="9.75" customWidth="1"/>
    <col min="15625" max="15625" width="11" bestFit="1" customWidth="1"/>
    <col min="15626" max="15626" width="10.125" bestFit="1" customWidth="1"/>
    <col min="15627" max="15627" width="10.125" customWidth="1"/>
    <col min="15628" max="15628" width="10.125" bestFit="1" customWidth="1"/>
    <col min="15629" max="15629" width="11" bestFit="1" customWidth="1"/>
    <col min="15630" max="15631" width="10.125" bestFit="1" customWidth="1"/>
    <col min="15632" max="15632" width="11" bestFit="1" customWidth="1"/>
    <col min="15633" max="15633" width="10.25" customWidth="1"/>
    <col min="15634" max="15634" width="11" customWidth="1"/>
    <col min="15635" max="15635" width="11.875" bestFit="1" customWidth="1"/>
    <col min="15636" max="15636" width="8.375" customWidth="1"/>
    <col min="15873" max="15873" width="4.875" customWidth="1"/>
    <col min="15874" max="15874" width="31.25" customWidth="1"/>
    <col min="15875" max="15875" width="10.125" bestFit="1" customWidth="1"/>
    <col min="15876" max="15878" width="11" bestFit="1" customWidth="1"/>
    <col min="15879" max="15879" width="11" customWidth="1"/>
    <col min="15880" max="15880" width="9.75" customWidth="1"/>
    <col min="15881" max="15881" width="11" bestFit="1" customWidth="1"/>
    <col min="15882" max="15882" width="10.125" bestFit="1" customWidth="1"/>
    <col min="15883" max="15883" width="10.125" customWidth="1"/>
    <col min="15884" max="15884" width="10.125" bestFit="1" customWidth="1"/>
    <col min="15885" max="15885" width="11" bestFit="1" customWidth="1"/>
    <col min="15886" max="15887" width="10.125" bestFit="1" customWidth="1"/>
    <col min="15888" max="15888" width="11" bestFit="1" customWidth="1"/>
    <col min="15889" max="15889" width="10.25" customWidth="1"/>
    <col min="15890" max="15890" width="11" customWidth="1"/>
    <col min="15891" max="15891" width="11.875" bestFit="1" customWidth="1"/>
    <col min="15892" max="15892" width="8.375" customWidth="1"/>
    <col min="16129" max="16129" width="4.875" customWidth="1"/>
    <col min="16130" max="16130" width="31.25" customWidth="1"/>
    <col min="16131" max="16131" width="10.125" bestFit="1" customWidth="1"/>
    <col min="16132" max="16134" width="11" bestFit="1" customWidth="1"/>
    <col min="16135" max="16135" width="11" customWidth="1"/>
    <col min="16136" max="16136" width="9.75" customWidth="1"/>
    <col min="16137" max="16137" width="11" bestFit="1" customWidth="1"/>
    <col min="16138" max="16138" width="10.125" bestFit="1" customWidth="1"/>
    <col min="16139" max="16139" width="10.125" customWidth="1"/>
    <col min="16140" max="16140" width="10.125" bestFit="1" customWidth="1"/>
    <col min="16141" max="16141" width="11" bestFit="1" customWidth="1"/>
    <col min="16142" max="16143" width="10.125" bestFit="1" customWidth="1"/>
    <col min="16144" max="16144" width="11" bestFit="1" customWidth="1"/>
    <col min="16145" max="16145" width="10.25" customWidth="1"/>
    <col min="16146" max="16146" width="11" customWidth="1"/>
    <col min="16147" max="16147" width="11.875" bestFit="1" customWidth="1"/>
    <col min="16148" max="16148" width="8.375" customWidth="1"/>
  </cols>
  <sheetData>
    <row r="1" spans="1:20" x14ac:dyDescent="0.25">
      <c r="A1" s="67" t="s">
        <v>62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x14ac:dyDescent="0.25">
      <c r="A2" s="68" t="s">
        <v>63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5">
      <c r="A3" s="68" t="s">
        <v>64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5">
      <c r="A4" s="68" t="s">
        <v>65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5">
      <c r="A5" s="26" t="s">
        <v>66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x14ac:dyDescent="0.25">
      <c r="A6" s="69" t="s">
        <v>67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69"/>
      <c r="T6" s="69"/>
    </row>
    <row r="7" spans="1:20" x14ac:dyDescent="0.25">
      <c r="A7" s="27"/>
      <c r="B7" s="28"/>
      <c r="C7" s="65" t="s">
        <v>68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6"/>
      <c r="R7" s="29" t="s">
        <v>69</v>
      </c>
      <c r="S7" s="30"/>
      <c r="T7" s="27"/>
    </row>
    <row r="8" spans="1:20" x14ac:dyDescent="0.25">
      <c r="A8" s="31"/>
      <c r="B8" s="32" t="s">
        <v>70</v>
      </c>
      <c r="C8" s="71" t="s">
        <v>71</v>
      </c>
      <c r="D8" s="71"/>
      <c r="E8" s="71"/>
      <c r="F8" s="71"/>
      <c r="G8" s="71"/>
      <c r="H8" s="72"/>
      <c r="I8" s="73" t="s">
        <v>72</v>
      </c>
      <c r="J8" s="71"/>
      <c r="K8" s="71"/>
      <c r="L8" s="33" t="s">
        <v>73</v>
      </c>
      <c r="M8" s="34" t="s">
        <v>74</v>
      </c>
      <c r="N8" s="35" t="s">
        <v>75</v>
      </c>
      <c r="O8" s="33" t="s">
        <v>76</v>
      </c>
      <c r="P8" s="34" t="s">
        <v>77</v>
      </c>
      <c r="Q8" s="36" t="s">
        <v>2</v>
      </c>
      <c r="R8" s="37" t="s">
        <v>78</v>
      </c>
      <c r="S8" s="38" t="s">
        <v>79</v>
      </c>
      <c r="T8" s="33" t="s">
        <v>80</v>
      </c>
    </row>
    <row r="9" spans="1:20" x14ac:dyDescent="0.25">
      <c r="A9" s="39" t="s">
        <v>66</v>
      </c>
      <c r="B9" s="40" t="s">
        <v>66</v>
      </c>
      <c r="C9" s="41" t="s">
        <v>81</v>
      </c>
      <c r="D9" s="42" t="s">
        <v>82</v>
      </c>
      <c r="E9" s="41" t="s">
        <v>83</v>
      </c>
      <c r="F9" s="42" t="s">
        <v>84</v>
      </c>
      <c r="G9" s="42" t="s">
        <v>85</v>
      </c>
      <c r="H9" s="43" t="s">
        <v>2</v>
      </c>
      <c r="I9" s="42" t="s">
        <v>86</v>
      </c>
      <c r="J9" s="41" t="s">
        <v>3</v>
      </c>
      <c r="K9" s="44" t="s">
        <v>2</v>
      </c>
      <c r="L9" s="45" t="s">
        <v>87</v>
      </c>
      <c r="M9" s="41" t="s">
        <v>88</v>
      </c>
      <c r="N9" s="45" t="s">
        <v>89</v>
      </c>
      <c r="O9" s="45" t="s">
        <v>90</v>
      </c>
      <c r="P9" s="34" t="s">
        <v>91</v>
      </c>
      <c r="Q9" s="46"/>
      <c r="R9" s="41" t="s">
        <v>92</v>
      </c>
      <c r="S9" s="47" t="s">
        <v>93</v>
      </c>
      <c r="T9" s="45" t="s">
        <v>94</v>
      </c>
    </row>
    <row r="10" spans="1:20" x14ac:dyDescent="0.25">
      <c r="A10" s="74" t="s">
        <v>95</v>
      </c>
      <c r="B10" s="74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4"/>
      <c r="R10" s="75"/>
      <c r="S10" s="74"/>
      <c r="T10" s="74"/>
    </row>
    <row r="11" spans="1:20" x14ac:dyDescent="0.25">
      <c r="A11" s="48" t="s">
        <v>96</v>
      </c>
      <c r="B11" s="49" t="s">
        <v>97</v>
      </c>
      <c r="C11" s="49">
        <v>1838</v>
      </c>
      <c r="D11" s="49">
        <v>5143</v>
      </c>
      <c r="E11" s="49">
        <v>5108</v>
      </c>
      <c r="F11" s="49">
        <f>13474+2123</f>
        <v>15597</v>
      </c>
      <c r="G11" s="49">
        <v>415</v>
      </c>
      <c r="H11" s="50">
        <f t="shared" ref="H11:H21" si="0">SUM(C11:G11)</f>
        <v>28101</v>
      </c>
      <c r="I11" s="49">
        <v>11622</v>
      </c>
      <c r="J11" s="49">
        <v>1899</v>
      </c>
      <c r="K11" s="50">
        <f>SUM(I11:J11)</f>
        <v>13521</v>
      </c>
      <c r="L11" s="49">
        <v>5502</v>
      </c>
      <c r="M11" s="49">
        <f>30828+17068+11360</f>
        <v>59256</v>
      </c>
      <c r="N11" s="49">
        <v>8088</v>
      </c>
      <c r="O11" s="49">
        <f>2532+3242+11046</f>
        <v>16820</v>
      </c>
      <c r="P11" s="49">
        <v>4234</v>
      </c>
      <c r="Q11" s="50">
        <f>SUM(H11+K11+L11+M11+N11+O11+P11)</f>
        <v>135522</v>
      </c>
      <c r="R11" s="49">
        <v>1822</v>
      </c>
      <c r="S11" s="49">
        <f>SUM(Q11:R11)</f>
        <v>137344</v>
      </c>
      <c r="T11" s="51">
        <f>SUM(S11/S16)</f>
        <v>0.45830983565529321</v>
      </c>
    </row>
    <row r="12" spans="1:20" x14ac:dyDescent="0.25">
      <c r="A12" s="48" t="s">
        <v>98</v>
      </c>
      <c r="B12" s="49" t="s">
        <v>99</v>
      </c>
      <c r="C12" s="49">
        <v>464</v>
      </c>
      <c r="D12" s="49">
        <v>1390</v>
      </c>
      <c r="E12" s="49">
        <v>1411</v>
      </c>
      <c r="F12" s="49">
        <f>3642+570</f>
        <v>4212</v>
      </c>
      <c r="G12" s="49">
        <v>112</v>
      </c>
      <c r="H12" s="50">
        <f t="shared" si="0"/>
        <v>7589</v>
      </c>
      <c r="I12" s="49">
        <v>3182</v>
      </c>
      <c r="J12" s="49">
        <v>522</v>
      </c>
      <c r="K12" s="50">
        <f t="shared" ref="K12:K21" si="1">SUM(I12:J12)</f>
        <v>3704</v>
      </c>
      <c r="L12" s="49">
        <v>1509</v>
      </c>
      <c r="M12" s="49">
        <f>8420+4670+3103</f>
        <v>16193</v>
      </c>
      <c r="N12" s="49">
        <v>4246</v>
      </c>
      <c r="O12" s="49">
        <f>693+889+3031</f>
        <v>4613</v>
      </c>
      <c r="P12" s="49">
        <v>1168</v>
      </c>
      <c r="Q12" s="50">
        <f t="shared" ref="Q12:Q21" si="2">SUM(H12+K12+L12+M12+N12+O12+P12)</f>
        <v>39022</v>
      </c>
      <c r="R12" s="49">
        <v>485</v>
      </c>
      <c r="S12" s="49">
        <f t="shared" ref="S12:S19" si="3">SUM(Q12:R12)</f>
        <v>39507</v>
      </c>
      <c r="T12" s="51">
        <f>SUM(S12/S16)</f>
        <v>0.13183281888712772</v>
      </c>
    </row>
    <row r="13" spans="1:20" x14ac:dyDescent="0.25">
      <c r="A13" s="48" t="s">
        <v>100</v>
      </c>
      <c r="B13" s="49" t="s">
        <v>54</v>
      </c>
      <c r="C13" s="49">
        <v>1829</v>
      </c>
      <c r="D13" s="49">
        <v>10851</v>
      </c>
      <c r="E13" s="49">
        <f>15151+1044</f>
        <v>16195</v>
      </c>
      <c r="F13" s="49">
        <f>14794+3409</f>
        <v>18203</v>
      </c>
      <c r="G13" s="49">
        <v>4918</v>
      </c>
      <c r="H13" s="50">
        <f t="shared" si="0"/>
        <v>51996</v>
      </c>
      <c r="I13" s="49">
        <v>5461</v>
      </c>
      <c r="J13" s="49">
        <v>2998</v>
      </c>
      <c r="K13" s="50">
        <f t="shared" si="1"/>
        <v>8459</v>
      </c>
      <c r="L13" s="49">
        <v>1428</v>
      </c>
      <c r="M13" s="49">
        <f>3865+2313+1862</f>
        <v>8040</v>
      </c>
      <c r="N13" s="49">
        <v>4950</v>
      </c>
      <c r="O13" s="49">
        <f>630+5568+18675</f>
        <v>24873</v>
      </c>
      <c r="P13" s="49">
        <v>11767</v>
      </c>
      <c r="Q13" s="50">
        <f t="shared" si="2"/>
        <v>111513</v>
      </c>
      <c r="R13" s="49">
        <v>11311</v>
      </c>
      <c r="S13" s="49">
        <f t="shared" si="3"/>
        <v>122824</v>
      </c>
      <c r="T13" s="51">
        <f>SUM(S13/S16)</f>
        <v>0.40985734545757907</v>
      </c>
    </row>
    <row r="14" spans="1:20" x14ac:dyDescent="0.25">
      <c r="A14" s="48" t="s">
        <v>101</v>
      </c>
      <c r="B14" s="49" t="s">
        <v>102</v>
      </c>
      <c r="C14" s="49">
        <v>0</v>
      </c>
      <c r="D14" s="49">
        <v>0</v>
      </c>
      <c r="E14" s="49">
        <v>0</v>
      </c>
      <c r="F14" s="49">
        <v>0</v>
      </c>
      <c r="G14" s="49"/>
      <c r="H14" s="50">
        <f t="shared" si="0"/>
        <v>0</v>
      </c>
      <c r="I14" s="49">
        <v>0</v>
      </c>
      <c r="J14" s="49">
        <v>0</v>
      </c>
      <c r="K14" s="50">
        <f t="shared" si="1"/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50">
        <f t="shared" si="2"/>
        <v>0</v>
      </c>
      <c r="R14" s="49">
        <v>0</v>
      </c>
      <c r="S14" s="49">
        <f t="shared" si="3"/>
        <v>0</v>
      </c>
      <c r="T14" s="51">
        <f>SUM(S14/S16)</f>
        <v>0</v>
      </c>
    </row>
    <row r="15" spans="1:20" x14ac:dyDescent="0.25">
      <c r="A15" s="48" t="s">
        <v>103</v>
      </c>
      <c r="B15" s="49" t="s">
        <v>104</v>
      </c>
      <c r="C15" s="49">
        <v>0</v>
      </c>
      <c r="D15" s="49">
        <v>0</v>
      </c>
      <c r="E15" s="49">
        <v>0</v>
      </c>
      <c r="F15" s="49">
        <v>0</v>
      </c>
      <c r="G15" s="49"/>
      <c r="H15" s="50">
        <f t="shared" si="0"/>
        <v>0</v>
      </c>
      <c r="I15" s="49">
        <v>0</v>
      </c>
      <c r="J15" s="49">
        <v>0</v>
      </c>
      <c r="K15" s="50">
        <f t="shared" si="1"/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50">
        <f t="shared" si="2"/>
        <v>0</v>
      </c>
      <c r="R15" s="49">
        <v>0</v>
      </c>
      <c r="S15" s="49">
        <f t="shared" si="3"/>
        <v>0</v>
      </c>
      <c r="T15" s="51">
        <f>SUM(S15/S16)</f>
        <v>0</v>
      </c>
    </row>
    <row r="16" spans="1:20" x14ac:dyDescent="0.25">
      <c r="A16" s="52" t="s">
        <v>105</v>
      </c>
      <c r="B16" s="53" t="s">
        <v>106</v>
      </c>
      <c r="C16" s="53">
        <f>SUM(C11:C15)</f>
        <v>4131</v>
      </c>
      <c r="D16" s="53">
        <f>SUM(D11:D15)</f>
        <v>17384</v>
      </c>
      <c r="E16" s="53">
        <f>SUM(E11:E15)</f>
        <v>22714</v>
      </c>
      <c r="F16" s="53">
        <f>SUM(F11:F15)</f>
        <v>38012</v>
      </c>
      <c r="G16" s="53">
        <f>SUM(G11:G15)</f>
        <v>5445</v>
      </c>
      <c r="H16" s="54">
        <f>SUM(C16:G16)</f>
        <v>87686</v>
      </c>
      <c r="I16" s="53">
        <f>SUM(I11:I15)</f>
        <v>20265</v>
      </c>
      <c r="J16" s="53">
        <f>SUM(J11:J15)</f>
        <v>5419</v>
      </c>
      <c r="K16" s="54">
        <f t="shared" si="1"/>
        <v>25684</v>
      </c>
      <c r="L16" s="53">
        <f>SUM(L11:L15)</f>
        <v>8439</v>
      </c>
      <c r="M16" s="53">
        <f>SUM(M11:M15)</f>
        <v>83489</v>
      </c>
      <c r="N16" s="53">
        <f>SUM(N11:N15)</f>
        <v>17284</v>
      </c>
      <c r="O16" s="53">
        <f>SUM(O11:O15)</f>
        <v>46306</v>
      </c>
      <c r="P16" s="53">
        <f>SUM(P11:P15)</f>
        <v>17169</v>
      </c>
      <c r="Q16" s="54">
        <f t="shared" si="2"/>
        <v>286057</v>
      </c>
      <c r="R16" s="53">
        <f>SUM(R11:R15)</f>
        <v>13618</v>
      </c>
      <c r="S16" s="53">
        <f>SUM(S11:S15)</f>
        <v>299675</v>
      </c>
      <c r="T16" s="55">
        <f>SUM(T11:T15)</f>
        <v>1</v>
      </c>
    </row>
    <row r="17" spans="1:20" x14ac:dyDescent="0.25">
      <c r="A17" s="48" t="s">
        <v>107</v>
      </c>
      <c r="B17" s="49" t="s">
        <v>108</v>
      </c>
      <c r="C17" s="49">
        <v>4</v>
      </c>
      <c r="D17" s="49">
        <v>18</v>
      </c>
      <c r="E17" s="49">
        <v>27</v>
      </c>
      <c r="F17" s="49">
        <v>31</v>
      </c>
      <c r="G17" s="49"/>
      <c r="H17" s="50">
        <f t="shared" si="0"/>
        <v>80</v>
      </c>
      <c r="I17" s="49"/>
      <c r="J17" s="49"/>
      <c r="K17" s="50">
        <f t="shared" si="1"/>
        <v>0</v>
      </c>
      <c r="L17" s="49">
        <v>48</v>
      </c>
      <c r="M17" s="49">
        <f>102+102+48</f>
        <v>252</v>
      </c>
      <c r="N17" s="49"/>
      <c r="O17" s="49">
        <v>300</v>
      </c>
      <c r="P17" s="49">
        <v>20</v>
      </c>
      <c r="Q17" s="50">
        <f t="shared" si="2"/>
        <v>700</v>
      </c>
      <c r="R17" s="49">
        <v>600</v>
      </c>
      <c r="S17" s="49">
        <f t="shared" si="3"/>
        <v>1300</v>
      </c>
      <c r="T17" s="51">
        <f>SUM(S17/S20)</f>
        <v>0.5</v>
      </c>
    </row>
    <row r="18" spans="1:20" x14ac:dyDescent="0.25">
      <c r="A18" s="48" t="s">
        <v>109</v>
      </c>
      <c r="B18" s="49" t="s">
        <v>110</v>
      </c>
      <c r="C18" s="49">
        <v>0</v>
      </c>
      <c r="D18" s="49">
        <v>0</v>
      </c>
      <c r="E18" s="49">
        <v>0</v>
      </c>
      <c r="F18" s="49">
        <v>0</v>
      </c>
      <c r="G18" s="49"/>
      <c r="H18" s="50">
        <f t="shared" si="0"/>
        <v>0</v>
      </c>
      <c r="I18" s="49">
        <v>0</v>
      </c>
      <c r="J18" s="49">
        <v>0</v>
      </c>
      <c r="K18" s="50">
        <f t="shared" si="1"/>
        <v>0</v>
      </c>
      <c r="L18" s="49">
        <v>0</v>
      </c>
      <c r="M18" s="49">
        <v>0</v>
      </c>
      <c r="N18" s="49"/>
      <c r="O18" s="49"/>
      <c r="P18" s="49">
        <v>0</v>
      </c>
      <c r="Q18" s="50">
        <f t="shared" si="2"/>
        <v>0</v>
      </c>
      <c r="R18" s="49">
        <v>1300</v>
      </c>
      <c r="S18" s="49">
        <f t="shared" si="3"/>
        <v>1300</v>
      </c>
      <c r="T18" s="51">
        <f>SUM(S18/S20)</f>
        <v>0.5</v>
      </c>
    </row>
    <row r="19" spans="1:20" x14ac:dyDescent="0.25">
      <c r="A19" s="48" t="s">
        <v>111</v>
      </c>
      <c r="B19" s="49" t="s">
        <v>112</v>
      </c>
      <c r="C19" s="49">
        <v>0</v>
      </c>
      <c r="D19" s="49">
        <v>0</v>
      </c>
      <c r="E19" s="49">
        <v>0</v>
      </c>
      <c r="F19" s="49">
        <v>0</v>
      </c>
      <c r="G19" s="49"/>
      <c r="H19" s="50">
        <f t="shared" si="0"/>
        <v>0</v>
      </c>
      <c r="I19" s="49">
        <v>0</v>
      </c>
      <c r="J19" s="49">
        <v>0</v>
      </c>
      <c r="K19" s="50">
        <f t="shared" si="1"/>
        <v>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50">
        <f t="shared" si="2"/>
        <v>0</v>
      </c>
      <c r="R19" s="49">
        <v>0</v>
      </c>
      <c r="S19" s="49">
        <f t="shared" si="3"/>
        <v>0</v>
      </c>
      <c r="T19" s="51">
        <f>SUM(S19/S20)</f>
        <v>0</v>
      </c>
    </row>
    <row r="20" spans="1:20" x14ac:dyDescent="0.25">
      <c r="A20" s="52" t="s">
        <v>113</v>
      </c>
      <c r="B20" s="53" t="s">
        <v>114</v>
      </c>
      <c r="C20" s="53">
        <f>SUM(C17:C19)</f>
        <v>4</v>
      </c>
      <c r="D20" s="53">
        <f>SUM(D17:D19)</f>
        <v>18</v>
      </c>
      <c r="E20" s="53">
        <f>SUM(E17:E19)</f>
        <v>27</v>
      </c>
      <c r="F20" s="53">
        <f>SUM(F17:F19)</f>
        <v>31</v>
      </c>
      <c r="G20" s="53">
        <f>SUM(G17:G19)</f>
        <v>0</v>
      </c>
      <c r="H20" s="54">
        <f t="shared" si="0"/>
        <v>80</v>
      </c>
      <c r="I20" s="53">
        <f>SUM(I17:I19)</f>
        <v>0</v>
      </c>
      <c r="J20" s="53">
        <f>SUM(J17:J19)</f>
        <v>0</v>
      </c>
      <c r="K20" s="54">
        <f t="shared" si="1"/>
        <v>0</v>
      </c>
      <c r="L20" s="53">
        <f>SUM(L17:L19)</f>
        <v>48</v>
      </c>
      <c r="M20" s="53">
        <f>SUM(M17:M19)</f>
        <v>252</v>
      </c>
      <c r="N20" s="53">
        <f>SUM(N17:N19)</f>
        <v>0</v>
      </c>
      <c r="O20" s="53">
        <f>SUM(O17:O19)</f>
        <v>300</v>
      </c>
      <c r="P20" s="53">
        <f>SUM(P17:P19)</f>
        <v>20</v>
      </c>
      <c r="Q20" s="54">
        <f t="shared" si="2"/>
        <v>700</v>
      </c>
      <c r="R20" s="53">
        <f>SUM(R17:R19)</f>
        <v>1900</v>
      </c>
      <c r="S20" s="53">
        <f>SUM(S17:S19)</f>
        <v>2600</v>
      </c>
      <c r="T20" s="55">
        <f>SUM(T17:T19)</f>
        <v>1</v>
      </c>
    </row>
    <row r="21" spans="1:20" x14ac:dyDescent="0.25">
      <c r="A21" s="42" t="s">
        <v>115</v>
      </c>
      <c r="B21" s="56" t="s">
        <v>116</v>
      </c>
      <c r="C21" s="56">
        <f>SUM(C20,C16)</f>
        <v>4135</v>
      </c>
      <c r="D21" s="56">
        <f>SUM(D20,D16)</f>
        <v>17402</v>
      </c>
      <c r="E21" s="56">
        <f>SUM(E20,E16)</f>
        <v>22741</v>
      </c>
      <c r="F21" s="56">
        <f>SUM(F20,F16)</f>
        <v>38043</v>
      </c>
      <c r="G21" s="56">
        <f>SUM(G20,G16)</f>
        <v>5445</v>
      </c>
      <c r="H21" s="54">
        <f t="shared" si="0"/>
        <v>87766</v>
      </c>
      <c r="I21" s="56">
        <f>SUM(I20,I16)</f>
        <v>20265</v>
      </c>
      <c r="J21" s="56">
        <f>SUM(J20,J16)</f>
        <v>5419</v>
      </c>
      <c r="K21" s="54">
        <f t="shared" si="1"/>
        <v>25684</v>
      </c>
      <c r="L21" s="56">
        <f>SUM(L20,L16)</f>
        <v>8487</v>
      </c>
      <c r="M21" s="56">
        <f>SUM(M20,M16)</f>
        <v>83741</v>
      </c>
      <c r="N21" s="56">
        <f>SUM(N20,N16)</f>
        <v>17284</v>
      </c>
      <c r="O21" s="56">
        <f>SUM(O20,O16)</f>
        <v>46606</v>
      </c>
      <c r="P21" s="56">
        <f>SUM(P20,P16)</f>
        <v>17189</v>
      </c>
      <c r="Q21" s="54">
        <f t="shared" si="2"/>
        <v>286757</v>
      </c>
      <c r="R21" s="56">
        <f>SUM(R16+R20)</f>
        <v>15518</v>
      </c>
      <c r="S21" s="56">
        <f>SUM(S20,S16)</f>
        <v>302275</v>
      </c>
      <c r="T21" s="56" t="s">
        <v>117</v>
      </c>
    </row>
    <row r="22" spans="1:20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</row>
    <row r="23" spans="1:20" x14ac:dyDescent="0.25">
      <c r="A23" s="75" t="s">
        <v>118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</row>
    <row r="24" spans="1:20" x14ac:dyDescent="0.25">
      <c r="A24" s="48" t="s">
        <v>119</v>
      </c>
      <c r="B24" s="49" t="s">
        <v>120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50">
        <f>SUM(C24:G24)</f>
        <v>0</v>
      </c>
      <c r="I24" s="49">
        <v>0</v>
      </c>
      <c r="J24" s="49">
        <v>0</v>
      </c>
      <c r="K24" s="50">
        <f>SUM(I24:J24)</f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50">
        <f>SUM(H24+K24+L24+M24+N24+O24+P24)</f>
        <v>0</v>
      </c>
      <c r="R24" s="49">
        <v>0</v>
      </c>
      <c r="S24" s="49">
        <f>SUM(Q24:R24)</f>
        <v>0</v>
      </c>
      <c r="T24" s="51">
        <f>SUM(S24/S37)</f>
        <v>0</v>
      </c>
    </row>
    <row r="25" spans="1:20" x14ac:dyDescent="0.25">
      <c r="A25" s="48" t="s">
        <v>121</v>
      </c>
      <c r="B25" s="49" t="s">
        <v>15</v>
      </c>
      <c r="C25" s="49">
        <v>467</v>
      </c>
      <c r="D25" s="49">
        <v>1443</v>
      </c>
      <c r="E25" s="49">
        <f>6427+500</f>
        <v>6927</v>
      </c>
      <c r="F25" s="49">
        <f>230+1303</f>
        <v>1533</v>
      </c>
      <c r="G25" s="49">
        <v>0</v>
      </c>
      <c r="H25" s="50">
        <f t="shared" ref="H25:H33" si="4">SUM(C25:F25)</f>
        <v>10370</v>
      </c>
      <c r="I25" s="49">
        <v>673</v>
      </c>
      <c r="J25" s="49">
        <v>184</v>
      </c>
      <c r="K25" s="50">
        <f t="shared" ref="K25:K37" si="5">SUM(I25:J25)</f>
        <v>857</v>
      </c>
      <c r="L25" s="49">
        <v>0</v>
      </c>
      <c r="M25" s="49">
        <v>0</v>
      </c>
      <c r="N25" s="49">
        <v>1549</v>
      </c>
      <c r="O25" s="49">
        <f>355+6145</f>
        <v>6500</v>
      </c>
      <c r="P25" s="49">
        <v>14506</v>
      </c>
      <c r="Q25" s="50">
        <f t="shared" ref="Q25:Q37" si="6">SUM(H25+K25+L25+M25+N25+O25+P25)</f>
        <v>33782</v>
      </c>
      <c r="R25" s="49">
        <v>15518</v>
      </c>
      <c r="S25" s="49">
        <f>SUM(Q25:R25)</f>
        <v>49300</v>
      </c>
      <c r="T25" s="51">
        <f>SUM(S25/S37)</f>
        <v>0.16309651807129269</v>
      </c>
    </row>
    <row r="26" spans="1:20" x14ac:dyDescent="0.25">
      <c r="A26" s="48" t="s">
        <v>122</v>
      </c>
      <c r="B26" s="49" t="s">
        <v>123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50">
        <f>SUM(C26:G26)</f>
        <v>0</v>
      </c>
      <c r="I26" s="49">
        <v>0</v>
      </c>
      <c r="J26" s="49">
        <v>0</v>
      </c>
      <c r="K26" s="50">
        <f t="shared" si="5"/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50">
        <f t="shared" si="6"/>
        <v>0</v>
      </c>
      <c r="R26" s="49">
        <v>0</v>
      </c>
      <c r="S26" s="49">
        <f t="shared" ref="S26:S34" si="7">SUM(Q26:R26)</f>
        <v>0</v>
      </c>
      <c r="T26" s="51">
        <f>SUM(S26/S37)</f>
        <v>0</v>
      </c>
    </row>
    <row r="27" spans="1:20" x14ac:dyDescent="0.25">
      <c r="A27" s="48" t="s">
        <v>124</v>
      </c>
      <c r="B27" s="49" t="s">
        <v>125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50">
        <f>SUM(C27:G27)</f>
        <v>0</v>
      </c>
      <c r="I27" s="49">
        <v>0</v>
      </c>
      <c r="J27" s="49">
        <v>0</v>
      </c>
      <c r="K27" s="50">
        <f t="shared" si="5"/>
        <v>0</v>
      </c>
      <c r="L27" s="49">
        <v>0</v>
      </c>
      <c r="M27" s="49">
        <v>0</v>
      </c>
      <c r="N27" s="49">
        <v>0</v>
      </c>
      <c r="O27" s="49">
        <v>3400</v>
      </c>
      <c r="P27" s="49">
        <v>0</v>
      </c>
      <c r="Q27" s="50">
        <f t="shared" si="6"/>
        <v>3400</v>
      </c>
      <c r="R27" s="49">
        <v>0</v>
      </c>
      <c r="S27" s="49">
        <f t="shared" si="7"/>
        <v>3400</v>
      </c>
      <c r="T27" s="51">
        <f>SUM(S27/S37)</f>
        <v>1.1248035729054669E-2</v>
      </c>
    </row>
    <row r="28" spans="1:20" x14ac:dyDescent="0.25">
      <c r="A28" s="48" t="s">
        <v>126</v>
      </c>
      <c r="B28" s="49" t="s">
        <v>127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50">
        <f>SUM(C28:G28)</f>
        <v>0</v>
      </c>
      <c r="I28" s="49"/>
      <c r="J28" s="49"/>
      <c r="K28" s="50">
        <f t="shared" si="5"/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50">
        <f t="shared" si="6"/>
        <v>0</v>
      </c>
      <c r="R28" s="49">
        <v>0</v>
      </c>
      <c r="S28" s="49">
        <f t="shared" si="7"/>
        <v>0</v>
      </c>
      <c r="T28" s="51">
        <f>SUM(S28/S37)</f>
        <v>0</v>
      </c>
    </row>
    <row r="29" spans="1:20" x14ac:dyDescent="0.25">
      <c r="A29" s="57" t="s">
        <v>128</v>
      </c>
      <c r="B29" s="58" t="s">
        <v>129</v>
      </c>
      <c r="C29" s="58">
        <f>SUM(C24:C28)</f>
        <v>467</v>
      </c>
      <c r="D29" s="58">
        <f>SUM(D24:D28)</f>
        <v>1443</v>
      </c>
      <c r="E29" s="58">
        <f>SUM(E24:E28)</f>
        <v>6927</v>
      </c>
      <c r="F29" s="58">
        <f>SUM(F24:F28)</f>
        <v>1533</v>
      </c>
      <c r="G29" s="58">
        <f>SUM(G24:G28)</f>
        <v>0</v>
      </c>
      <c r="H29" s="54">
        <f t="shared" si="4"/>
        <v>10370</v>
      </c>
      <c r="I29" s="58">
        <f>SUM(I24:I28)</f>
        <v>673</v>
      </c>
      <c r="J29" s="58">
        <f>SUM(J24:J28)</f>
        <v>184</v>
      </c>
      <c r="K29" s="54">
        <f t="shared" si="5"/>
        <v>857</v>
      </c>
      <c r="L29" s="58">
        <f>SUM(L24:L28)</f>
        <v>0</v>
      </c>
      <c r="M29" s="58">
        <f>SUM(M24:M28)</f>
        <v>0</v>
      </c>
      <c r="N29" s="58">
        <f>SUM(N24:N28)</f>
        <v>1549</v>
      </c>
      <c r="O29" s="58">
        <f>SUM(O24:O28)</f>
        <v>9900</v>
      </c>
      <c r="P29" s="58">
        <f>SUM(P24:P28)</f>
        <v>14506</v>
      </c>
      <c r="Q29" s="54">
        <f t="shared" si="6"/>
        <v>37182</v>
      </c>
      <c r="R29" s="58">
        <f>SUM(R24:R28)</f>
        <v>15518</v>
      </c>
      <c r="S29" s="58">
        <f>SUM(S24:S28)</f>
        <v>52700</v>
      </c>
      <c r="T29" s="55">
        <f>SUM(S29/S37)</f>
        <v>0.17434455380034736</v>
      </c>
    </row>
    <row r="30" spans="1:20" x14ac:dyDescent="0.25">
      <c r="A30" s="48" t="s">
        <v>130</v>
      </c>
      <c r="B30" s="49" t="s">
        <v>131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50">
        <f>SUM(C30:G30)</f>
        <v>0</v>
      </c>
      <c r="I30" s="49">
        <v>0</v>
      </c>
      <c r="J30" s="49">
        <v>0</v>
      </c>
      <c r="K30" s="50">
        <f t="shared" si="5"/>
        <v>0</v>
      </c>
      <c r="L30" s="49">
        <v>0</v>
      </c>
      <c r="M30" s="49">
        <v>0</v>
      </c>
      <c r="N30" s="49">
        <v>0</v>
      </c>
      <c r="O30" s="49">
        <v>0</v>
      </c>
      <c r="P30" s="49">
        <v>430</v>
      </c>
      <c r="Q30" s="50">
        <f t="shared" si="6"/>
        <v>430</v>
      </c>
      <c r="R30" s="49"/>
      <c r="S30" s="49">
        <f t="shared" si="7"/>
        <v>430</v>
      </c>
      <c r="T30" s="51">
        <f>SUM(S30/S37)</f>
        <v>1.4225456951451492E-3</v>
      </c>
    </row>
    <row r="31" spans="1:20" x14ac:dyDescent="0.25">
      <c r="A31" s="48" t="s">
        <v>130</v>
      </c>
      <c r="B31" s="49" t="s">
        <v>132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  <c r="H31" s="50">
        <f>SUM(C31:G31)</f>
        <v>0</v>
      </c>
      <c r="I31" s="49">
        <v>0</v>
      </c>
      <c r="J31" s="49">
        <v>0</v>
      </c>
      <c r="K31" s="50">
        <f t="shared" si="5"/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50">
        <f t="shared" si="6"/>
        <v>0</v>
      </c>
      <c r="R31" s="49">
        <v>0</v>
      </c>
      <c r="S31" s="49">
        <f t="shared" si="7"/>
        <v>0</v>
      </c>
      <c r="T31" s="51">
        <f>SUM(S31/S37)</f>
        <v>0</v>
      </c>
    </row>
    <row r="32" spans="1:20" x14ac:dyDescent="0.25">
      <c r="A32" s="52" t="s">
        <v>133</v>
      </c>
      <c r="B32" s="53" t="s">
        <v>134</v>
      </c>
      <c r="C32" s="53">
        <f>SUM(C30:C31)</f>
        <v>0</v>
      </c>
      <c r="D32" s="53">
        <f>SUM(D30:D31)</f>
        <v>0</v>
      </c>
      <c r="E32" s="53">
        <f>SUM(E30:E31)</f>
        <v>0</v>
      </c>
      <c r="F32" s="53">
        <f>SUM(F30:F31)</f>
        <v>0</v>
      </c>
      <c r="G32" s="53">
        <v>0</v>
      </c>
      <c r="H32" s="50">
        <f t="shared" si="4"/>
        <v>0</v>
      </c>
      <c r="I32" s="53">
        <f>SUM(I30:I31)</f>
        <v>0</v>
      </c>
      <c r="J32" s="53">
        <f>SUM(J30:J31)</f>
        <v>0</v>
      </c>
      <c r="K32" s="54">
        <f t="shared" si="5"/>
        <v>0</v>
      </c>
      <c r="L32" s="53">
        <f>SUM(L30:L31)</f>
        <v>0</v>
      </c>
      <c r="M32" s="53">
        <f>SUM(M30:M31)</f>
        <v>0</v>
      </c>
      <c r="N32" s="53">
        <f>SUM(N30:N31)</f>
        <v>0</v>
      </c>
      <c r="O32" s="53">
        <f>SUM(O30:O31)</f>
        <v>0</v>
      </c>
      <c r="P32" s="53">
        <f>SUM(P30:P31)</f>
        <v>430</v>
      </c>
      <c r="Q32" s="54">
        <f t="shared" si="6"/>
        <v>430</v>
      </c>
      <c r="R32" s="53">
        <f>SUM(R30:R31)</f>
        <v>0</v>
      </c>
      <c r="S32" s="53">
        <f>SUM(S30:S31)</f>
        <v>430</v>
      </c>
      <c r="T32" s="55">
        <f>SUM(S32/S37)</f>
        <v>1.4225456951451492E-3</v>
      </c>
    </row>
    <row r="33" spans="1:20" x14ac:dyDescent="0.25">
      <c r="A33" s="52" t="s">
        <v>135</v>
      </c>
      <c r="B33" s="53" t="s">
        <v>136</v>
      </c>
      <c r="C33" s="53">
        <f>SUM(C32,C29)</f>
        <v>467</v>
      </c>
      <c r="D33" s="53">
        <f>SUM(D32,D29)</f>
        <v>1443</v>
      </c>
      <c r="E33" s="53">
        <f>SUM(E32,E29)</f>
        <v>6927</v>
      </c>
      <c r="F33" s="53">
        <f>SUM(F32,F29)</f>
        <v>1533</v>
      </c>
      <c r="G33" s="53">
        <f>SUM(G32,G29)</f>
        <v>0</v>
      </c>
      <c r="H33" s="54">
        <f t="shared" si="4"/>
        <v>10370</v>
      </c>
      <c r="I33" s="53">
        <f>SUM(I32,I29)</f>
        <v>673</v>
      </c>
      <c r="J33" s="53">
        <f>SUM(J32,J29)</f>
        <v>184</v>
      </c>
      <c r="K33" s="54">
        <f t="shared" si="5"/>
        <v>857</v>
      </c>
      <c r="L33" s="53">
        <f>SUM(L32,L29)</f>
        <v>0</v>
      </c>
      <c r="M33" s="53">
        <f>SUM(M32,M29)</f>
        <v>0</v>
      </c>
      <c r="N33" s="53">
        <f>SUM(N32,N29)</f>
        <v>1549</v>
      </c>
      <c r="O33" s="53">
        <f>SUM(O32,O29)</f>
        <v>9900</v>
      </c>
      <c r="P33" s="53">
        <f>SUM(P32,P29)</f>
        <v>14936</v>
      </c>
      <c r="Q33" s="54">
        <f t="shared" si="6"/>
        <v>37612</v>
      </c>
      <c r="R33" s="53">
        <f>SUM(R32,R29)</f>
        <v>15518</v>
      </c>
      <c r="S33" s="53">
        <f>SUM(S32,S29)</f>
        <v>53130</v>
      </c>
      <c r="T33" s="55">
        <f>SUM(S33/S37)</f>
        <v>0.17576709949549252</v>
      </c>
    </row>
    <row r="34" spans="1:20" x14ac:dyDescent="0.25">
      <c r="A34" s="42" t="s">
        <v>137</v>
      </c>
      <c r="B34" s="56" t="s">
        <v>138</v>
      </c>
      <c r="C34" s="56">
        <v>2656</v>
      </c>
      <c r="D34" s="56">
        <v>12218</v>
      </c>
      <c r="E34" s="56">
        <v>12218</v>
      </c>
      <c r="F34" s="56">
        <v>26031</v>
      </c>
      <c r="G34" s="56">
        <v>5445</v>
      </c>
      <c r="H34" s="54">
        <f>SUM(C34:G34)</f>
        <v>58568</v>
      </c>
      <c r="I34" s="56">
        <v>3083</v>
      </c>
      <c r="J34" s="56">
        <v>3084</v>
      </c>
      <c r="K34" s="54">
        <f t="shared" si="5"/>
        <v>6167</v>
      </c>
      <c r="L34" s="56">
        <v>4941</v>
      </c>
      <c r="M34" s="56">
        <v>61491</v>
      </c>
      <c r="N34" s="56">
        <v>0</v>
      </c>
      <c r="O34" s="56">
        <v>2769</v>
      </c>
      <c r="P34" s="56">
        <v>0</v>
      </c>
      <c r="Q34" s="54">
        <f>SUM(H34+K34+L34+M34+N34+O34+P34)</f>
        <v>133936</v>
      </c>
      <c r="R34" s="56">
        <v>0</v>
      </c>
      <c r="S34" s="56">
        <f t="shared" si="7"/>
        <v>133936</v>
      </c>
      <c r="T34" s="59">
        <f>SUM(S34/S37)</f>
        <v>0.44309320982549005</v>
      </c>
    </row>
    <row r="35" spans="1:20" x14ac:dyDescent="0.25">
      <c r="A35" s="52" t="s">
        <v>139</v>
      </c>
      <c r="B35" s="53" t="s">
        <v>140</v>
      </c>
      <c r="C35" s="53">
        <f>SUM(C21-C33-C34)</f>
        <v>1012</v>
      </c>
      <c r="D35" s="53">
        <f>SUM(D21-D33-D34)</f>
        <v>3741</v>
      </c>
      <c r="E35" s="53">
        <f>SUM(E21-E33-E34)</f>
        <v>3596</v>
      </c>
      <c r="F35" s="53">
        <f>SUM(F21-F33-F34)</f>
        <v>10479</v>
      </c>
      <c r="G35" s="53">
        <f>SUM(G21-G33-G34)</f>
        <v>0</v>
      </c>
      <c r="H35" s="54">
        <f>SUM(C35:G35)</f>
        <v>18828</v>
      </c>
      <c r="I35" s="53">
        <f>SUM(I21-I33-I34)</f>
        <v>16509</v>
      </c>
      <c r="J35" s="53">
        <f>SUM(J21-J33-J34)</f>
        <v>2151</v>
      </c>
      <c r="K35" s="54">
        <f t="shared" si="5"/>
        <v>18660</v>
      </c>
      <c r="L35" s="53">
        <f>SUM(L21-L33-L34)</f>
        <v>3546</v>
      </c>
      <c r="M35" s="53">
        <f>SUM(M21-M33-M34)</f>
        <v>22250</v>
      </c>
      <c r="N35" s="53">
        <f>SUM(N21-N33-N34)</f>
        <v>15735</v>
      </c>
      <c r="O35" s="53">
        <f>SUM(O21-O33-O34)</f>
        <v>33937</v>
      </c>
      <c r="P35" s="53">
        <f>SUM(P21-P33-P34)</f>
        <v>2253</v>
      </c>
      <c r="Q35" s="54">
        <f t="shared" si="6"/>
        <v>115209</v>
      </c>
      <c r="R35" s="53">
        <f>SUM(R21-R33-R34)</f>
        <v>0</v>
      </c>
      <c r="S35" s="53">
        <f>SUM(S21-S33-S34)</f>
        <v>115209</v>
      </c>
      <c r="T35" s="51">
        <f>SUM(S35/S37)</f>
        <v>0.38113969067901743</v>
      </c>
    </row>
    <row r="36" spans="1:20" x14ac:dyDescent="0.25">
      <c r="A36" s="52" t="s">
        <v>141</v>
      </c>
      <c r="B36" s="53" t="s">
        <v>142</v>
      </c>
      <c r="C36" s="53">
        <f>SUM(C34:C35)</f>
        <v>3668</v>
      </c>
      <c r="D36" s="53">
        <f>SUM(D34:D35)</f>
        <v>15959</v>
      </c>
      <c r="E36" s="53">
        <f>SUM(E34:E35)</f>
        <v>15814</v>
      </c>
      <c r="F36" s="53">
        <f>SUM(F34:F35)</f>
        <v>36510</v>
      </c>
      <c r="G36" s="53">
        <f>SUM(G34:G35)</f>
        <v>5445</v>
      </c>
      <c r="H36" s="54">
        <f>SUM(C36:G36)</f>
        <v>77396</v>
      </c>
      <c r="I36" s="53">
        <f>SUM(I34:I35)</f>
        <v>19592</v>
      </c>
      <c r="J36" s="53">
        <f>SUM(J34:J35)</f>
        <v>5235</v>
      </c>
      <c r="K36" s="54">
        <f t="shared" si="5"/>
        <v>24827</v>
      </c>
      <c r="L36" s="53">
        <f>SUM(L34:L35)</f>
        <v>8487</v>
      </c>
      <c r="M36" s="53">
        <f>SUM(M34:M35)</f>
        <v>83741</v>
      </c>
      <c r="N36" s="53">
        <f>SUM(N34:N35)</f>
        <v>15735</v>
      </c>
      <c r="O36" s="53">
        <f>SUM(O34:O35)</f>
        <v>36706</v>
      </c>
      <c r="P36" s="53">
        <f>SUM(P34:P35)</f>
        <v>2253</v>
      </c>
      <c r="Q36" s="54">
        <f>SUM(H36+K36+L36+M36+N36+O36+P36)</f>
        <v>249145</v>
      </c>
      <c r="R36" s="53">
        <f>SUM(R34:R35)</f>
        <v>0</v>
      </c>
      <c r="S36" s="53">
        <f>SUM(S34:S35)</f>
        <v>249145</v>
      </c>
      <c r="T36" s="51">
        <f>SUM(S36/S37)</f>
        <v>0.82423290050450748</v>
      </c>
    </row>
    <row r="37" spans="1:20" x14ac:dyDescent="0.25">
      <c r="A37" s="42" t="s">
        <v>143</v>
      </c>
      <c r="B37" s="56" t="s">
        <v>144</v>
      </c>
      <c r="C37" s="56">
        <f>SUM(C33+C36)</f>
        <v>4135</v>
      </c>
      <c r="D37" s="56">
        <f>SUM(D33+D36)</f>
        <v>17402</v>
      </c>
      <c r="E37" s="56">
        <f>SUM(E33+E36)</f>
        <v>22741</v>
      </c>
      <c r="F37" s="56">
        <f>SUM(F33+F36)</f>
        <v>38043</v>
      </c>
      <c r="G37" s="56">
        <f>SUM(G33+G36)</f>
        <v>5445</v>
      </c>
      <c r="H37" s="54">
        <f>SUM(C37:G37)</f>
        <v>87766</v>
      </c>
      <c r="I37" s="56">
        <f>SUM(I33+I36)</f>
        <v>20265</v>
      </c>
      <c r="J37" s="56">
        <f>SUM(J33+J36)</f>
        <v>5419</v>
      </c>
      <c r="K37" s="54">
        <f t="shared" si="5"/>
        <v>25684</v>
      </c>
      <c r="L37" s="56">
        <f>SUM(L33+L36)</f>
        <v>8487</v>
      </c>
      <c r="M37" s="56">
        <f>SUM(M33+M36)</f>
        <v>83741</v>
      </c>
      <c r="N37" s="56">
        <f>SUM(N33+N36)</f>
        <v>17284</v>
      </c>
      <c r="O37" s="56">
        <f>SUM(O33+O36)</f>
        <v>46606</v>
      </c>
      <c r="P37" s="56">
        <f>SUM(P33+P36)</f>
        <v>17189</v>
      </c>
      <c r="Q37" s="54">
        <f t="shared" si="6"/>
        <v>286757</v>
      </c>
      <c r="R37" s="56">
        <f>SUM(R33+R36)</f>
        <v>15518</v>
      </c>
      <c r="S37" s="56">
        <f>SUM(S33+S36)</f>
        <v>302275</v>
      </c>
      <c r="T37" s="59">
        <f>SUM(T33+T36)</f>
        <v>1</v>
      </c>
    </row>
    <row r="38" spans="1:20" x14ac:dyDescent="0.25">
      <c r="A38" s="76" t="s">
        <v>145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7"/>
    </row>
    <row r="39" spans="1:20" x14ac:dyDescent="0.25">
      <c r="A39" s="52" t="s">
        <v>146</v>
      </c>
      <c r="B39" s="53" t="s">
        <v>147</v>
      </c>
      <c r="C39" s="53">
        <v>1</v>
      </c>
      <c r="D39" s="53">
        <v>3</v>
      </c>
      <c r="E39" s="53">
        <v>3</v>
      </c>
      <c r="F39" s="53">
        <v>8</v>
      </c>
      <c r="G39" s="53"/>
      <c r="H39" s="54">
        <f>SUM(C39:F39)</f>
        <v>15</v>
      </c>
      <c r="I39" s="53">
        <v>7</v>
      </c>
      <c r="J39" s="53">
        <v>1</v>
      </c>
      <c r="K39" s="54">
        <f>SUM(I39:J39)</f>
        <v>8</v>
      </c>
      <c r="L39" s="53">
        <v>3</v>
      </c>
      <c r="M39" s="53">
        <v>19</v>
      </c>
      <c r="N39" s="53">
        <v>5</v>
      </c>
      <c r="O39" s="53">
        <v>11</v>
      </c>
      <c r="P39" s="53">
        <v>2</v>
      </c>
      <c r="Q39" s="54">
        <f>SUM(H39+K39+L39+M39+N39+O39+P39)</f>
        <v>63</v>
      </c>
      <c r="R39" s="53">
        <v>1</v>
      </c>
      <c r="S39" s="53">
        <f>SUM(Q39:R39)</f>
        <v>64</v>
      </c>
      <c r="T39" s="60"/>
    </row>
    <row r="40" spans="1:20" x14ac:dyDescent="0.25">
      <c r="A40" s="48"/>
      <c r="B40" s="49" t="s">
        <v>148</v>
      </c>
      <c r="C40" s="49"/>
      <c r="D40" s="49"/>
      <c r="E40" s="49"/>
      <c r="F40" s="49"/>
      <c r="G40" s="49"/>
      <c r="H40" s="50"/>
      <c r="I40" s="49"/>
      <c r="J40" s="49"/>
      <c r="K40" s="50"/>
      <c r="L40" s="49"/>
      <c r="M40" s="49"/>
      <c r="N40" s="49"/>
      <c r="O40" s="49"/>
      <c r="P40" s="49"/>
      <c r="Q40" s="50"/>
      <c r="R40" s="49"/>
      <c r="S40" s="49"/>
      <c r="T40" s="61"/>
    </row>
    <row r="41" spans="1:20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</row>
    <row r="42" spans="1:20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</row>
    <row r="43" spans="1:20" x14ac:dyDescent="0.25">
      <c r="A43" s="26"/>
      <c r="B43" s="26"/>
      <c r="C43" s="62"/>
      <c r="D43" s="63"/>
      <c r="E43" s="63"/>
      <c r="F43" s="6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</sheetData>
  <mergeCells count="11">
    <mergeCell ref="C8:H8"/>
    <mergeCell ref="I8:K8"/>
    <mergeCell ref="A10:T10"/>
    <mergeCell ref="A23:T23"/>
    <mergeCell ref="A38:T38"/>
    <mergeCell ref="C7:Q7"/>
    <mergeCell ref="A1:T1"/>
    <mergeCell ref="A2:T2"/>
    <mergeCell ref="A3:T3"/>
    <mergeCell ref="A4:T4"/>
    <mergeCell ref="A6: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6"/>
  <sheetViews>
    <sheetView zoomScaleNormal="100" workbookViewId="0">
      <selection activeCell="L6" sqref="L6"/>
    </sheetView>
  </sheetViews>
  <sheetFormatPr defaultRowHeight="15" x14ac:dyDescent="0.25"/>
  <cols>
    <col min="1" max="1" width="31.875" customWidth="1"/>
    <col min="2" max="2" width="18.625" customWidth="1"/>
    <col min="3" max="3" width="17" style="1" bestFit="1" customWidth="1"/>
    <col min="4" max="4" width="17.125" customWidth="1"/>
    <col min="5" max="5" width="17" customWidth="1"/>
    <col min="6" max="6" width="16.125" customWidth="1"/>
  </cols>
  <sheetData>
    <row r="1" spans="1:6" x14ac:dyDescent="0.25">
      <c r="A1" s="78" t="s">
        <v>31</v>
      </c>
      <c r="B1" s="78"/>
    </row>
    <row r="2" spans="1:6" s="9" customFormat="1" ht="157.5" customHeight="1" x14ac:dyDescent="0.25">
      <c r="A2" s="10" t="s">
        <v>32</v>
      </c>
      <c r="B2" s="80" t="s">
        <v>184</v>
      </c>
      <c r="C2" s="80"/>
      <c r="D2" s="80"/>
      <c r="E2" s="80"/>
      <c r="F2" s="11"/>
    </row>
    <row r="3" spans="1:6" s="9" customFormat="1" ht="46.5" customHeight="1" x14ac:dyDescent="0.25">
      <c r="A3" s="10" t="s">
        <v>33</v>
      </c>
      <c r="B3" s="81" t="s">
        <v>149</v>
      </c>
      <c r="C3" s="81"/>
      <c r="D3" s="81"/>
      <c r="E3" s="81"/>
    </row>
    <row r="4" spans="1:6" s="9" customFormat="1" ht="51" customHeight="1" x14ac:dyDescent="0.25">
      <c r="A4" s="88" t="s">
        <v>34</v>
      </c>
      <c r="B4" s="82" t="s">
        <v>53</v>
      </c>
      <c r="C4" s="83"/>
      <c r="D4" s="83"/>
      <c r="E4" s="84"/>
    </row>
    <row r="5" spans="1:6" s="9" customFormat="1" ht="56.25" customHeight="1" x14ac:dyDescent="0.25">
      <c r="A5" s="89"/>
      <c r="B5" s="85" t="s">
        <v>165</v>
      </c>
      <c r="C5" s="86"/>
      <c r="D5" s="86"/>
      <c r="E5" s="87"/>
    </row>
    <row r="6" spans="1:6" s="9" customFormat="1" ht="51" customHeight="1" x14ac:dyDescent="0.25">
      <c r="A6" s="89"/>
      <c r="B6" s="85" t="s">
        <v>44</v>
      </c>
      <c r="C6" s="86"/>
      <c r="D6" s="86"/>
      <c r="E6" s="87"/>
    </row>
    <row r="7" spans="1:6" s="9" customFormat="1" ht="36" customHeight="1" x14ac:dyDescent="0.25">
      <c r="A7" s="90"/>
      <c r="B7" s="91" t="s">
        <v>51</v>
      </c>
      <c r="C7" s="92"/>
      <c r="D7" s="92"/>
      <c r="E7" s="93"/>
    </row>
    <row r="10" spans="1:6" x14ac:dyDescent="0.25">
      <c r="A10" t="s">
        <v>35</v>
      </c>
    </row>
    <row r="12" spans="1:6" x14ac:dyDescent="0.25">
      <c r="A12" s="1"/>
      <c r="B12" s="79"/>
      <c r="C12" s="79"/>
      <c r="D12" s="79"/>
      <c r="E12" s="79"/>
      <c r="F12" s="79"/>
    </row>
    <row r="13" spans="1:6" x14ac:dyDescent="0.25">
      <c r="A13" s="2" t="s">
        <v>12</v>
      </c>
      <c r="B13" s="2" t="s">
        <v>3</v>
      </c>
      <c r="C13" s="2" t="s">
        <v>4</v>
      </c>
      <c r="D13" s="2" t="s">
        <v>5</v>
      </c>
      <c r="E13" s="2" t="s">
        <v>2</v>
      </c>
      <c r="F13" s="2"/>
    </row>
    <row r="14" spans="1:6" x14ac:dyDescent="0.25">
      <c r="A14" s="2" t="s">
        <v>11</v>
      </c>
      <c r="B14" s="1">
        <f>1541000+100000+645000+645000+42000</f>
        <v>2973000</v>
      </c>
      <c r="C14" s="1">
        <f>6051600+1704000+400000</f>
        <v>8155600</v>
      </c>
      <c r="D14" s="1">
        <v>2539600</v>
      </c>
      <c r="E14" s="2">
        <f>SUM(A14:D14)</f>
        <v>13668200</v>
      </c>
      <c r="F14" s="1"/>
    </row>
    <row r="15" spans="1:6" x14ac:dyDescent="0.25">
      <c r="A15" s="2" t="s">
        <v>6</v>
      </c>
      <c r="B15" s="1">
        <f>+B14*0.27</f>
        <v>802710</v>
      </c>
      <c r="C15" s="1">
        <f>+C14*0.27</f>
        <v>2202012</v>
      </c>
      <c r="D15" s="1">
        <f>+D14*0.27</f>
        <v>685692</v>
      </c>
      <c r="E15" s="2">
        <f t="shared" ref="E15:E21" si="0">SUM(A15:D15)</f>
        <v>3690414</v>
      </c>
      <c r="F15" s="1"/>
    </row>
    <row r="16" spans="1:6" x14ac:dyDescent="0.25">
      <c r="A16" s="3" t="s">
        <v>7</v>
      </c>
      <c r="B16" s="1">
        <v>965000</v>
      </c>
      <c r="C16" s="1">
        <v>150000</v>
      </c>
      <c r="D16" s="1">
        <v>17000</v>
      </c>
      <c r="E16" s="2">
        <f t="shared" si="0"/>
        <v>1132000</v>
      </c>
      <c r="F16" s="1"/>
    </row>
    <row r="17" spans="1:6" x14ac:dyDescent="0.25">
      <c r="A17" s="3" t="s">
        <v>8</v>
      </c>
      <c r="B17" s="1">
        <v>1586000</v>
      </c>
      <c r="C17" s="1">
        <v>3499200</v>
      </c>
      <c r="D17" s="1">
        <f>68000+524000</f>
        <v>592000</v>
      </c>
      <c r="E17" s="2">
        <f t="shared" si="0"/>
        <v>5677200</v>
      </c>
      <c r="F17" s="1"/>
    </row>
    <row r="18" spans="1:6" x14ac:dyDescent="0.25">
      <c r="A18" s="3" t="s">
        <v>1</v>
      </c>
      <c r="B18" s="1">
        <v>544000</v>
      </c>
      <c r="C18" s="1">
        <f>+(C16+C17)*0.27</f>
        <v>985284.00000000012</v>
      </c>
      <c r="D18" s="1">
        <v>21000</v>
      </c>
      <c r="E18" s="2">
        <f t="shared" si="0"/>
        <v>1550284</v>
      </c>
      <c r="F18" s="1"/>
    </row>
    <row r="19" spans="1:6" x14ac:dyDescent="0.25">
      <c r="A19" s="2" t="s">
        <v>9</v>
      </c>
      <c r="B19" s="1">
        <f t="shared" ref="B19:C19" si="1">SUM(B16:B18)</f>
        <v>3095000</v>
      </c>
      <c r="C19" s="1">
        <f t="shared" si="1"/>
        <v>4634484</v>
      </c>
      <c r="D19" s="1">
        <f>SUM(D16:D18)</f>
        <v>630000</v>
      </c>
      <c r="E19" s="2">
        <f t="shared" si="0"/>
        <v>8359484</v>
      </c>
      <c r="F19" s="1"/>
    </row>
    <row r="20" spans="1:6" x14ac:dyDescent="0.25">
      <c r="A20" s="2" t="s">
        <v>14</v>
      </c>
      <c r="B20" s="1">
        <v>0</v>
      </c>
      <c r="C20" s="1">
        <v>0</v>
      </c>
      <c r="D20" s="1">
        <v>0</v>
      </c>
      <c r="E20" s="2">
        <f t="shared" si="0"/>
        <v>0</v>
      </c>
      <c r="F20" s="1"/>
    </row>
    <row r="21" spans="1:6" x14ac:dyDescent="0.25">
      <c r="A21" s="4" t="s">
        <v>10</v>
      </c>
      <c r="B21" s="4">
        <f>+B14+B15+B19+B20</f>
        <v>6870710</v>
      </c>
      <c r="C21" s="4">
        <f t="shared" ref="C21:D21" si="2">+C14+C15+C19+C20</f>
        <v>14992096</v>
      </c>
      <c r="D21" s="4">
        <f t="shared" si="2"/>
        <v>3855292</v>
      </c>
      <c r="E21" s="4">
        <f t="shared" si="0"/>
        <v>25718098</v>
      </c>
      <c r="F21" s="12"/>
    </row>
    <row r="22" spans="1:6" x14ac:dyDescent="0.25">
      <c r="A22" s="1"/>
      <c r="B22" s="1"/>
      <c r="D22" s="1"/>
      <c r="E22" s="1"/>
      <c r="F22" s="13"/>
    </row>
    <row r="23" spans="1:6" x14ac:dyDescent="0.25">
      <c r="A23" s="2" t="s">
        <v>0</v>
      </c>
      <c r="B23" s="1"/>
      <c r="D23" s="1"/>
      <c r="E23" s="1"/>
      <c r="F23" s="13"/>
    </row>
    <row r="24" spans="1:6" x14ac:dyDescent="0.25">
      <c r="A24" s="3" t="s">
        <v>16</v>
      </c>
      <c r="B24" s="1">
        <v>0</v>
      </c>
      <c r="D24" s="1">
        <v>0</v>
      </c>
      <c r="E24" s="1">
        <f>SUM(A24:D24)</f>
        <v>0</v>
      </c>
      <c r="F24" s="13"/>
    </row>
    <row r="25" spans="1:6" x14ac:dyDescent="0.25">
      <c r="A25" s="3" t="s">
        <v>15</v>
      </c>
      <c r="B25" s="1">
        <v>184000</v>
      </c>
      <c r="D25" s="1">
        <v>0</v>
      </c>
      <c r="E25" s="1">
        <f t="shared" ref="E25:E27" si="3">SUM(A25:D25)</f>
        <v>184000</v>
      </c>
      <c r="F25" s="13"/>
    </row>
    <row r="26" spans="1:6" x14ac:dyDescent="0.25">
      <c r="A26" s="3" t="s">
        <v>13</v>
      </c>
      <c r="B26" s="1">
        <v>0</v>
      </c>
      <c r="C26" s="1">
        <v>0</v>
      </c>
      <c r="D26" s="1">
        <f>2876000+524000</f>
        <v>3400000</v>
      </c>
      <c r="E26" s="1">
        <f t="shared" si="3"/>
        <v>3400000</v>
      </c>
      <c r="F26" s="13"/>
    </row>
    <row r="27" spans="1:6" x14ac:dyDescent="0.25">
      <c r="A27" s="4" t="s">
        <v>2</v>
      </c>
      <c r="B27" s="4">
        <f t="shared" ref="B27:C27" si="4">SUM(B24:B26)</f>
        <v>184000</v>
      </c>
      <c r="C27" s="4">
        <f t="shared" si="4"/>
        <v>0</v>
      </c>
      <c r="D27" s="4">
        <f>SUM(D24:D26)</f>
        <v>3400000</v>
      </c>
      <c r="E27" s="4">
        <f t="shared" si="3"/>
        <v>3584000</v>
      </c>
      <c r="F27" s="12"/>
    </row>
    <row r="28" spans="1:6" x14ac:dyDescent="0.25">
      <c r="A28" s="1"/>
      <c r="B28" s="1"/>
      <c r="D28" s="1"/>
      <c r="E28" s="1"/>
      <c r="F28" s="13"/>
    </row>
    <row r="29" spans="1:6" x14ac:dyDescent="0.25">
      <c r="A29" s="4" t="s">
        <v>17</v>
      </c>
      <c r="B29" s="5">
        <v>6167000</v>
      </c>
      <c r="C29" s="5">
        <v>0</v>
      </c>
      <c r="D29" s="5">
        <v>0</v>
      </c>
      <c r="E29" s="4">
        <f>SUM(A29:D29)</f>
        <v>6167000</v>
      </c>
      <c r="F29" s="13"/>
    </row>
    <row r="30" spans="1:6" x14ac:dyDescent="0.25">
      <c r="A30" s="4" t="s">
        <v>18</v>
      </c>
      <c r="B30" s="4">
        <f>+B21-B27-B29</f>
        <v>519710</v>
      </c>
      <c r="C30" s="4">
        <f t="shared" ref="C30:D30" si="5">+C21-C27-C29</f>
        <v>14992096</v>
      </c>
      <c r="D30" s="4">
        <f t="shared" si="5"/>
        <v>455292</v>
      </c>
      <c r="E30" s="4">
        <f>SUM(A30:D30)</f>
        <v>15967098</v>
      </c>
      <c r="F30" s="12"/>
    </row>
    <row r="31" spans="1:6" x14ac:dyDescent="0.25">
      <c r="A31" s="1"/>
      <c r="B31" s="1"/>
      <c r="D31" s="1"/>
      <c r="E31" s="1"/>
      <c r="F31" s="13"/>
    </row>
    <row r="32" spans="1:6" x14ac:dyDescent="0.25">
      <c r="A32" s="4" t="s">
        <v>29</v>
      </c>
      <c r="B32" s="4">
        <f>SUM(B33:B43)</f>
        <v>1</v>
      </c>
      <c r="C32" s="4">
        <f>SUM(C33:C43)</f>
        <v>5</v>
      </c>
      <c r="D32" s="4">
        <f>SUM(D33:D43)</f>
        <v>1</v>
      </c>
      <c r="E32" s="4">
        <f>SUM(A32:D32)</f>
        <v>7</v>
      </c>
      <c r="F32" s="12"/>
    </row>
    <row r="33" spans="1:6" x14ac:dyDescent="0.25">
      <c r="A33" s="1" t="s">
        <v>52</v>
      </c>
      <c r="B33" s="1"/>
      <c r="C33" s="1">
        <v>1</v>
      </c>
      <c r="D33" s="1"/>
      <c r="E33" s="1">
        <f>SUM(A33:D33)</f>
        <v>1</v>
      </c>
      <c r="F33" s="1"/>
    </row>
    <row r="34" spans="1:6" x14ac:dyDescent="0.25">
      <c r="A34" s="1" t="s">
        <v>20</v>
      </c>
      <c r="B34" s="1"/>
      <c r="C34" s="1">
        <v>2</v>
      </c>
      <c r="D34" s="1"/>
      <c r="E34" s="1">
        <f t="shared" ref="E34:E43" si="6">SUM(A34:D34)</f>
        <v>2</v>
      </c>
      <c r="F34" s="1"/>
    </row>
    <row r="35" spans="1:6" x14ac:dyDescent="0.25">
      <c r="A35" s="1" t="s">
        <v>21</v>
      </c>
      <c r="B35" s="1"/>
      <c r="C35" s="1">
        <v>0</v>
      </c>
      <c r="D35" s="1"/>
      <c r="E35" s="1">
        <f t="shared" si="6"/>
        <v>0</v>
      </c>
      <c r="F35" s="1"/>
    </row>
    <row r="36" spans="1:6" x14ac:dyDescent="0.25">
      <c r="A36" s="1" t="s">
        <v>22</v>
      </c>
      <c r="B36" s="1"/>
      <c r="C36" s="1">
        <v>0</v>
      </c>
      <c r="D36" s="1"/>
      <c r="E36" s="1">
        <f t="shared" si="6"/>
        <v>0</v>
      </c>
      <c r="F36" s="1"/>
    </row>
    <row r="37" spans="1:6" x14ac:dyDescent="0.25">
      <c r="A37" s="1" t="s">
        <v>23</v>
      </c>
      <c r="B37" s="1"/>
      <c r="D37" s="1"/>
      <c r="E37" s="1">
        <f t="shared" si="6"/>
        <v>0</v>
      </c>
      <c r="F37" s="1"/>
    </row>
    <row r="38" spans="1:6" x14ac:dyDescent="0.25">
      <c r="A38" s="1" t="s">
        <v>24</v>
      </c>
      <c r="B38" s="1"/>
      <c r="D38" s="1"/>
      <c r="E38" s="1">
        <f t="shared" si="6"/>
        <v>0</v>
      </c>
      <c r="F38" s="1"/>
    </row>
    <row r="39" spans="1:6" x14ac:dyDescent="0.25">
      <c r="A39" s="1" t="s">
        <v>25</v>
      </c>
      <c r="B39" s="1"/>
      <c r="C39" s="1">
        <v>1</v>
      </c>
      <c r="D39" s="1"/>
      <c r="E39" s="1">
        <f t="shared" si="6"/>
        <v>1</v>
      </c>
      <c r="F39" s="1"/>
    </row>
    <row r="40" spans="1:6" x14ac:dyDescent="0.25">
      <c r="A40" s="1" t="s">
        <v>26</v>
      </c>
      <c r="B40" s="1">
        <v>1</v>
      </c>
      <c r="D40" s="1"/>
      <c r="E40" s="1">
        <f t="shared" si="6"/>
        <v>1</v>
      </c>
      <c r="F40" s="1"/>
    </row>
    <row r="41" spans="1:6" x14ac:dyDescent="0.25">
      <c r="A41" s="1" t="s">
        <v>28</v>
      </c>
      <c r="B41" s="1"/>
      <c r="D41" s="1">
        <v>1</v>
      </c>
      <c r="E41" s="1">
        <f t="shared" si="6"/>
        <v>1</v>
      </c>
      <c r="F41" s="1"/>
    </row>
    <row r="42" spans="1:6" x14ac:dyDescent="0.25">
      <c r="A42" s="1" t="s">
        <v>27</v>
      </c>
      <c r="B42" s="1"/>
      <c r="D42" s="1"/>
      <c r="E42" s="1">
        <f t="shared" si="6"/>
        <v>0</v>
      </c>
      <c r="F42" s="1"/>
    </row>
    <row r="43" spans="1:6" x14ac:dyDescent="0.25">
      <c r="A43" s="1" t="s">
        <v>30</v>
      </c>
      <c r="B43" s="1"/>
      <c r="C43" s="1">
        <v>1</v>
      </c>
      <c r="D43" s="1"/>
      <c r="E43" s="1">
        <f t="shared" si="6"/>
        <v>1</v>
      </c>
      <c r="F43" s="1"/>
    </row>
    <row r="44" spans="1:6" s="8" customFormat="1" x14ac:dyDescent="0.25">
      <c r="A44" s="6" t="s">
        <v>36</v>
      </c>
      <c r="C44" s="14" t="s">
        <v>38</v>
      </c>
    </row>
    <row r="45" spans="1:6" s="8" customFormat="1" x14ac:dyDescent="0.25">
      <c r="A45" s="6" t="s">
        <v>37</v>
      </c>
      <c r="C45" s="14" t="s">
        <v>38</v>
      </c>
    </row>
    <row r="46" spans="1:6" x14ac:dyDescent="0.25">
      <c r="A46" s="6" t="s">
        <v>39</v>
      </c>
      <c r="C46" s="14" t="s">
        <v>38</v>
      </c>
    </row>
  </sheetData>
  <mergeCells count="9">
    <mergeCell ref="A1:B1"/>
    <mergeCell ref="B12:F12"/>
    <mergeCell ref="B2:E2"/>
    <mergeCell ref="B3:E3"/>
    <mergeCell ref="B4:E4"/>
    <mergeCell ref="B5:E5"/>
    <mergeCell ref="A4:A7"/>
    <mergeCell ref="B6:E6"/>
    <mergeCell ref="B7:E7"/>
  </mergeCells>
  <pageMargins left="0.7" right="0.7" top="0.75" bottom="0.75" header="0.3" footer="0.3"/>
  <pageSetup paperSize="9" scale="75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topLeftCell="A19" zoomScaleNormal="100" workbookViewId="0">
      <selection activeCell="H9" sqref="H9"/>
    </sheetView>
  </sheetViews>
  <sheetFormatPr defaultRowHeight="15" x14ac:dyDescent="0.25"/>
  <cols>
    <col min="1" max="1" width="31.875" customWidth="1"/>
    <col min="2" max="2" width="18.625" customWidth="1"/>
    <col min="3" max="3" width="17" style="1" bestFit="1" customWidth="1"/>
    <col min="4" max="4" width="17.125" customWidth="1"/>
    <col min="5" max="5" width="17" customWidth="1"/>
    <col min="6" max="6" width="16.125" customWidth="1"/>
  </cols>
  <sheetData>
    <row r="1" spans="1:6" x14ac:dyDescent="0.25">
      <c r="A1" s="78" t="s">
        <v>41</v>
      </c>
      <c r="B1" s="78"/>
    </row>
    <row r="2" spans="1:6" s="9" customFormat="1" ht="70.5" customHeight="1" x14ac:dyDescent="0.25">
      <c r="A2" s="88" t="s">
        <v>32</v>
      </c>
      <c r="B2" s="80" t="s">
        <v>48</v>
      </c>
      <c r="C2" s="80"/>
      <c r="D2" s="80"/>
      <c r="E2" s="80"/>
      <c r="F2" s="11"/>
    </row>
    <row r="3" spans="1:6" s="9" customFormat="1" ht="52.5" customHeight="1" x14ac:dyDescent="0.25">
      <c r="A3" s="89"/>
      <c r="B3" s="81" t="s">
        <v>49</v>
      </c>
      <c r="C3" s="81"/>
      <c r="D3" s="81"/>
      <c r="E3" s="81"/>
    </row>
    <row r="4" spans="1:6" s="9" customFormat="1" ht="28.5" customHeight="1" x14ac:dyDescent="0.25">
      <c r="A4" s="89"/>
      <c r="B4" s="97" t="s">
        <v>46</v>
      </c>
      <c r="C4" s="98"/>
      <c r="D4" s="98"/>
      <c r="E4" s="99"/>
    </row>
    <row r="5" spans="1:6" s="9" customFormat="1" ht="42.75" customHeight="1" x14ac:dyDescent="0.25">
      <c r="A5" s="90"/>
      <c r="B5" s="97" t="s">
        <v>50</v>
      </c>
      <c r="C5" s="98"/>
      <c r="D5" s="98"/>
      <c r="E5" s="99"/>
    </row>
    <row r="6" spans="1:6" s="9" customFormat="1" ht="36" customHeight="1" x14ac:dyDescent="0.25">
      <c r="A6" s="10" t="s">
        <v>33</v>
      </c>
      <c r="B6" s="81" t="s">
        <v>150</v>
      </c>
      <c r="C6" s="81"/>
      <c r="D6" s="81"/>
      <c r="E6" s="81"/>
    </row>
    <row r="7" spans="1:6" s="9" customFormat="1" ht="36" customHeight="1" x14ac:dyDescent="0.25">
      <c r="A7" s="94" t="s">
        <v>34</v>
      </c>
      <c r="B7" s="82" t="s">
        <v>40</v>
      </c>
      <c r="C7" s="83"/>
      <c r="D7" s="83"/>
      <c r="E7" s="84"/>
    </row>
    <row r="8" spans="1:6" s="9" customFormat="1" ht="81.75" customHeight="1" x14ac:dyDescent="0.25">
      <c r="A8" s="95"/>
      <c r="B8" s="85" t="s">
        <v>43</v>
      </c>
      <c r="C8" s="86"/>
      <c r="D8" s="86"/>
      <c r="E8" s="87"/>
    </row>
    <row r="9" spans="1:6" ht="48" customHeight="1" x14ac:dyDescent="0.25">
      <c r="A9" s="95"/>
      <c r="B9" s="85" t="s">
        <v>47</v>
      </c>
      <c r="C9" s="86"/>
      <c r="D9" s="86"/>
      <c r="E9" s="87"/>
    </row>
    <row r="10" spans="1:6" ht="45.75" customHeight="1" x14ac:dyDescent="0.25">
      <c r="A10" s="96"/>
      <c r="B10" s="91" t="s">
        <v>45</v>
      </c>
      <c r="C10" s="92"/>
      <c r="D10" s="92"/>
      <c r="E10" s="93"/>
    </row>
    <row r="11" spans="1:6" ht="45.75" customHeight="1" x14ac:dyDescent="0.25">
      <c r="A11" s="16"/>
      <c r="B11" s="15"/>
      <c r="C11" s="15"/>
      <c r="D11" s="15"/>
      <c r="E11" s="15"/>
    </row>
    <row r="12" spans="1:6" x14ac:dyDescent="0.25">
      <c r="A12" t="s">
        <v>42</v>
      </c>
    </row>
    <row r="14" spans="1:6" x14ac:dyDescent="0.25">
      <c r="A14" s="1"/>
      <c r="B14" s="79"/>
      <c r="C14" s="79"/>
      <c r="D14" s="79"/>
      <c r="E14" s="79"/>
      <c r="F14" s="79"/>
    </row>
    <row r="15" spans="1:6" x14ac:dyDescent="0.25">
      <c r="A15" s="2" t="s">
        <v>12</v>
      </c>
      <c r="B15" s="2" t="s">
        <v>3</v>
      </c>
      <c r="C15" s="2" t="s">
        <v>4</v>
      </c>
      <c r="D15" s="2" t="s">
        <v>5</v>
      </c>
      <c r="E15" s="2" t="s">
        <v>2</v>
      </c>
      <c r="F15" s="2"/>
    </row>
    <row r="16" spans="1:6" x14ac:dyDescent="0.25">
      <c r="A16" s="2" t="s">
        <v>11</v>
      </c>
      <c r="B16" s="1">
        <f>1541000+100000+645000+645000+42000</f>
        <v>2973000</v>
      </c>
      <c r="C16" s="1">
        <f>13635600+900000+1704000</f>
        <v>16239600</v>
      </c>
      <c r="D16" s="1">
        <v>2539600</v>
      </c>
      <c r="E16" s="2">
        <f>SUM(A16:D16)</f>
        <v>21752200</v>
      </c>
      <c r="F16" s="1"/>
    </row>
    <row r="17" spans="1:6" x14ac:dyDescent="0.25">
      <c r="A17" s="2" t="s">
        <v>6</v>
      </c>
      <c r="B17" s="1">
        <f>+B16*0.27</f>
        <v>802710</v>
      </c>
      <c r="C17" s="1">
        <f>+C16*0.27</f>
        <v>4384692</v>
      </c>
      <c r="D17" s="1">
        <f>+D16*0.27</f>
        <v>685692</v>
      </c>
      <c r="E17" s="2">
        <f t="shared" ref="E17:E22" si="0">SUM(A17:D17)</f>
        <v>5873094</v>
      </c>
      <c r="F17" s="1"/>
    </row>
    <row r="18" spans="1:6" x14ac:dyDescent="0.25">
      <c r="A18" s="3" t="s">
        <v>7</v>
      </c>
      <c r="B18" s="1">
        <v>965000</v>
      </c>
      <c r="C18" s="1">
        <v>208000</v>
      </c>
      <c r="D18" s="1">
        <v>17000</v>
      </c>
      <c r="E18" s="2">
        <f t="shared" si="0"/>
        <v>1190000</v>
      </c>
      <c r="F18" s="1"/>
    </row>
    <row r="19" spans="1:6" x14ac:dyDescent="0.25">
      <c r="A19" s="3" t="s">
        <v>8</v>
      </c>
      <c r="B19" s="1">
        <f>1586000+500000</f>
        <v>2086000</v>
      </c>
      <c r="C19" s="1">
        <v>4084600</v>
      </c>
      <c r="D19" s="1">
        <f>68000+524000</f>
        <v>592000</v>
      </c>
      <c r="E19" s="2">
        <f t="shared" si="0"/>
        <v>6762600</v>
      </c>
      <c r="F19" s="1"/>
    </row>
    <row r="20" spans="1:6" x14ac:dyDescent="0.25">
      <c r="A20" s="3" t="s">
        <v>1</v>
      </c>
      <c r="B20" s="1">
        <v>544000</v>
      </c>
      <c r="C20" s="1">
        <f>+(C18+C19)*0.27</f>
        <v>1159002</v>
      </c>
      <c r="D20" s="1">
        <v>21000</v>
      </c>
      <c r="E20" s="2">
        <f t="shared" si="0"/>
        <v>1724002</v>
      </c>
      <c r="F20" s="1"/>
    </row>
    <row r="21" spans="1:6" x14ac:dyDescent="0.25">
      <c r="A21" s="2" t="s">
        <v>9</v>
      </c>
      <c r="B21" s="1">
        <f t="shared" ref="B21:C21" si="1">SUM(B18:B20)</f>
        <v>3595000</v>
      </c>
      <c r="C21" s="1">
        <f t="shared" si="1"/>
        <v>5451602</v>
      </c>
      <c r="D21" s="1">
        <f>SUM(D18:D20)</f>
        <v>630000</v>
      </c>
      <c r="E21" s="2">
        <f t="shared" si="0"/>
        <v>9676602</v>
      </c>
      <c r="F21" s="1"/>
    </row>
    <row r="22" spans="1:6" x14ac:dyDescent="0.25">
      <c r="A22" s="2" t="s">
        <v>14</v>
      </c>
      <c r="B22" s="1">
        <v>1000000</v>
      </c>
      <c r="C22" s="1">
        <v>0</v>
      </c>
      <c r="D22" s="1">
        <v>0</v>
      </c>
      <c r="E22" s="2">
        <f t="shared" si="0"/>
        <v>1000000</v>
      </c>
      <c r="F22" s="1"/>
    </row>
    <row r="23" spans="1:6" x14ac:dyDescent="0.25">
      <c r="A23" s="4" t="s">
        <v>10</v>
      </c>
      <c r="B23" s="4">
        <f>+B16+B17+B21+B22</f>
        <v>8370710</v>
      </c>
      <c r="C23" s="4">
        <f t="shared" ref="C23:D23" si="2">+C16+C17+C21+C22</f>
        <v>26075894</v>
      </c>
      <c r="D23" s="4">
        <f t="shared" si="2"/>
        <v>3855292</v>
      </c>
      <c r="E23" s="4">
        <f>SUM(A23:D23)</f>
        <v>38301896</v>
      </c>
      <c r="F23" s="12"/>
    </row>
    <row r="24" spans="1:6" x14ac:dyDescent="0.25">
      <c r="A24" s="1"/>
      <c r="B24" s="1"/>
      <c r="D24" s="1"/>
      <c r="E24" s="1"/>
      <c r="F24" s="13"/>
    </row>
    <row r="25" spans="1:6" x14ac:dyDescent="0.25">
      <c r="A25" s="2" t="s">
        <v>0</v>
      </c>
      <c r="B25" s="1"/>
      <c r="D25" s="1"/>
      <c r="E25" s="1"/>
      <c r="F25" s="13"/>
    </row>
    <row r="26" spans="1:6" x14ac:dyDescent="0.25">
      <c r="A26" s="3" t="s">
        <v>16</v>
      </c>
      <c r="B26" s="1">
        <v>0</v>
      </c>
      <c r="D26" s="1">
        <v>0</v>
      </c>
      <c r="E26" s="1">
        <f>SUM(A26:D26)</f>
        <v>0</v>
      </c>
      <c r="F26" s="13"/>
    </row>
    <row r="27" spans="1:6" x14ac:dyDescent="0.25">
      <c r="A27" s="3" t="s">
        <v>15</v>
      </c>
      <c r="B27" s="1">
        <v>184000</v>
      </c>
      <c r="D27" s="1">
        <v>0</v>
      </c>
      <c r="E27" s="1">
        <f t="shared" ref="E27:E29" si="3">SUM(A27:D27)</f>
        <v>184000</v>
      </c>
      <c r="F27" s="13"/>
    </row>
    <row r="28" spans="1:6" x14ac:dyDescent="0.25">
      <c r="A28" s="3" t="s">
        <v>13</v>
      </c>
      <c r="B28" s="1">
        <v>0</v>
      </c>
      <c r="C28" s="1">
        <v>0</v>
      </c>
      <c r="D28" s="1">
        <f>2876000+524000</f>
        <v>3400000</v>
      </c>
      <c r="E28" s="1">
        <f t="shared" si="3"/>
        <v>3400000</v>
      </c>
      <c r="F28" s="13"/>
    </row>
    <row r="29" spans="1:6" x14ac:dyDescent="0.25">
      <c r="A29" s="4" t="s">
        <v>2</v>
      </c>
      <c r="B29" s="4">
        <f t="shared" ref="B29:C29" si="4">SUM(B26:B28)</f>
        <v>184000</v>
      </c>
      <c r="C29" s="4">
        <f t="shared" si="4"/>
        <v>0</v>
      </c>
      <c r="D29" s="4">
        <f>SUM(D26:D28)</f>
        <v>3400000</v>
      </c>
      <c r="E29" s="4">
        <f t="shared" si="3"/>
        <v>3584000</v>
      </c>
      <c r="F29" s="12"/>
    </row>
    <row r="30" spans="1:6" x14ac:dyDescent="0.25">
      <c r="A30" s="1"/>
      <c r="B30" s="1"/>
      <c r="D30" s="1"/>
      <c r="E30" s="1"/>
      <c r="F30" s="13"/>
    </row>
    <row r="31" spans="1:6" x14ac:dyDescent="0.25">
      <c r="A31" s="4" t="s">
        <v>17</v>
      </c>
      <c r="B31" s="5">
        <v>6167000</v>
      </c>
      <c r="C31" s="5">
        <v>0</v>
      </c>
      <c r="D31" s="5">
        <v>0</v>
      </c>
      <c r="E31" s="4">
        <f>SUM(A31:D31)</f>
        <v>6167000</v>
      </c>
      <c r="F31" s="13"/>
    </row>
    <row r="32" spans="1:6" x14ac:dyDescent="0.25">
      <c r="A32" s="4" t="s">
        <v>18</v>
      </c>
      <c r="B32" s="4">
        <f>+B23-B29-B31</f>
        <v>2019710</v>
      </c>
      <c r="C32" s="4">
        <f t="shared" ref="C32:D32" si="5">+C23-C29-C31</f>
        <v>26075894</v>
      </c>
      <c r="D32" s="4">
        <f t="shared" si="5"/>
        <v>455292</v>
      </c>
      <c r="E32" s="4">
        <f>SUM(A32:D32)</f>
        <v>28550896</v>
      </c>
      <c r="F32" s="12"/>
    </row>
    <row r="33" spans="1:6" x14ac:dyDescent="0.25">
      <c r="A33" s="1"/>
      <c r="B33" s="1"/>
      <c r="D33" s="1"/>
      <c r="E33" s="1"/>
      <c r="F33" s="13"/>
    </row>
    <row r="34" spans="1:6" x14ac:dyDescent="0.25">
      <c r="A34" s="4" t="s">
        <v>29</v>
      </c>
      <c r="B34" s="4">
        <f>SUM(B35:B45)</f>
        <v>1</v>
      </c>
      <c r="C34" s="4">
        <f>SUM(C35:C45)</f>
        <v>9.5</v>
      </c>
      <c r="D34" s="4">
        <f>SUM(D35:D45)</f>
        <v>1</v>
      </c>
      <c r="E34" s="4">
        <f>SUM(A34:D34)</f>
        <v>11.5</v>
      </c>
      <c r="F34" s="12"/>
    </row>
    <row r="35" spans="1:6" x14ac:dyDescent="0.25">
      <c r="A35" s="1" t="s">
        <v>19</v>
      </c>
      <c r="B35" s="1"/>
      <c r="C35" s="1">
        <v>2.5</v>
      </c>
      <c r="D35" s="1"/>
      <c r="E35" s="1">
        <f>SUM(A35:D35)</f>
        <v>2.5</v>
      </c>
      <c r="F35" s="1"/>
    </row>
    <row r="36" spans="1:6" x14ac:dyDescent="0.25">
      <c r="A36" s="1" t="s">
        <v>20</v>
      </c>
      <c r="B36" s="1"/>
      <c r="C36" s="1">
        <v>2</v>
      </c>
      <c r="D36" s="1"/>
      <c r="E36" s="1">
        <f t="shared" ref="E36:E45" si="6">SUM(A36:D36)</f>
        <v>2</v>
      </c>
      <c r="F36" s="1"/>
    </row>
    <row r="37" spans="1:6" x14ac:dyDescent="0.25">
      <c r="A37" s="1" t="s">
        <v>21</v>
      </c>
      <c r="B37" s="1"/>
      <c r="C37" s="1">
        <v>1</v>
      </c>
      <c r="D37" s="1"/>
      <c r="E37" s="1">
        <f t="shared" si="6"/>
        <v>1</v>
      </c>
      <c r="F37" s="1"/>
    </row>
    <row r="38" spans="1:6" x14ac:dyDescent="0.25">
      <c r="A38" s="1" t="s">
        <v>22</v>
      </c>
      <c r="B38" s="1"/>
      <c r="C38" s="1">
        <v>1</v>
      </c>
      <c r="D38" s="1"/>
      <c r="E38" s="1">
        <f t="shared" si="6"/>
        <v>1</v>
      </c>
      <c r="F38" s="1"/>
    </row>
    <row r="39" spans="1:6" x14ac:dyDescent="0.25">
      <c r="A39" s="1" t="s">
        <v>23</v>
      </c>
      <c r="B39" s="1"/>
      <c r="C39" s="1">
        <v>1</v>
      </c>
      <c r="D39" s="1"/>
      <c r="E39" s="1">
        <f t="shared" si="6"/>
        <v>1</v>
      </c>
      <c r="F39" s="1"/>
    </row>
    <row r="40" spans="1:6" x14ac:dyDescent="0.25">
      <c r="A40" s="1" t="s">
        <v>24</v>
      </c>
      <c r="B40" s="1"/>
      <c r="C40" s="1">
        <v>0</v>
      </c>
      <c r="D40" s="1"/>
      <c r="E40" s="1">
        <f t="shared" si="6"/>
        <v>0</v>
      </c>
      <c r="F40" s="1"/>
    </row>
    <row r="41" spans="1:6" x14ac:dyDescent="0.25">
      <c r="A41" s="1" t="s">
        <v>25</v>
      </c>
      <c r="B41" s="1"/>
      <c r="C41" s="1">
        <v>1</v>
      </c>
      <c r="D41" s="1"/>
      <c r="E41" s="1">
        <f t="shared" si="6"/>
        <v>1</v>
      </c>
      <c r="F41" s="1"/>
    </row>
    <row r="42" spans="1:6" x14ac:dyDescent="0.25">
      <c r="A42" s="1" t="s">
        <v>26</v>
      </c>
      <c r="B42" s="1">
        <v>1</v>
      </c>
      <c r="D42" s="1"/>
      <c r="E42" s="1">
        <f t="shared" si="6"/>
        <v>1</v>
      </c>
      <c r="F42" s="1"/>
    </row>
    <row r="43" spans="1:6" x14ac:dyDescent="0.25">
      <c r="A43" s="1" t="s">
        <v>28</v>
      </c>
      <c r="B43" s="1"/>
      <c r="D43" s="1">
        <v>1</v>
      </c>
      <c r="E43" s="1">
        <f t="shared" si="6"/>
        <v>1</v>
      </c>
      <c r="F43" s="1"/>
    </row>
    <row r="44" spans="1:6" x14ac:dyDescent="0.25">
      <c r="A44" s="1" t="s">
        <v>27</v>
      </c>
      <c r="B44" s="1"/>
      <c r="D44" s="1"/>
      <c r="E44" s="1">
        <f t="shared" si="6"/>
        <v>0</v>
      </c>
      <c r="F44" s="1"/>
    </row>
    <row r="45" spans="1:6" x14ac:dyDescent="0.25">
      <c r="A45" s="1" t="s">
        <v>30</v>
      </c>
      <c r="B45" s="1"/>
      <c r="C45" s="1">
        <v>1</v>
      </c>
      <c r="D45" s="1"/>
      <c r="E45" s="1">
        <f t="shared" si="6"/>
        <v>1</v>
      </c>
      <c r="F45" s="1"/>
    </row>
    <row r="46" spans="1:6" s="8" customFormat="1" x14ac:dyDescent="0.25">
      <c r="A46" s="6" t="s">
        <v>36</v>
      </c>
      <c r="C46" s="14" t="s">
        <v>38</v>
      </c>
    </row>
    <row r="47" spans="1:6" s="8" customFormat="1" x14ac:dyDescent="0.25">
      <c r="A47" s="6" t="s">
        <v>37</v>
      </c>
      <c r="C47" s="14" t="s">
        <v>38</v>
      </c>
    </row>
    <row r="48" spans="1:6" x14ac:dyDescent="0.25">
      <c r="A48" s="6" t="s">
        <v>39</v>
      </c>
      <c r="C48" s="14" t="s">
        <v>38</v>
      </c>
    </row>
  </sheetData>
  <mergeCells count="13">
    <mergeCell ref="B4:E4"/>
    <mergeCell ref="A2:A5"/>
    <mergeCell ref="B5:E5"/>
    <mergeCell ref="A1:B1"/>
    <mergeCell ref="B2:E2"/>
    <mergeCell ref="B3:E3"/>
    <mergeCell ref="B14:F14"/>
    <mergeCell ref="B9:E9"/>
    <mergeCell ref="B10:E10"/>
    <mergeCell ref="B6:E6"/>
    <mergeCell ref="A7:A10"/>
    <mergeCell ref="B7:E7"/>
    <mergeCell ref="B8:E8"/>
  </mergeCells>
  <pageMargins left="0.7" right="0.7" top="0.75" bottom="0.75" header="0.3" footer="0.3"/>
  <pageSetup paperSize="9" scale="69" orientation="portrait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24"/>
  <sheetViews>
    <sheetView zoomScaleNormal="100" workbookViewId="0">
      <selection activeCell="F25" sqref="F25"/>
    </sheetView>
  </sheetViews>
  <sheetFormatPr defaultRowHeight="15" x14ac:dyDescent="0.25"/>
  <cols>
    <col min="1" max="1" width="39.75" customWidth="1"/>
    <col min="2" max="2" width="24.25" customWidth="1"/>
    <col min="3" max="3" width="17" customWidth="1"/>
    <col min="4" max="4" width="18.375" customWidth="1"/>
  </cols>
  <sheetData>
    <row r="1" spans="1:5" x14ac:dyDescent="0.25">
      <c r="A1" s="100"/>
      <c r="B1" s="100"/>
      <c r="C1" s="100"/>
      <c r="D1" s="100"/>
    </row>
    <row r="3" spans="1:5" s="17" customFormat="1" ht="31.5" customHeight="1" x14ac:dyDescent="0.25">
      <c r="A3" s="101" t="s">
        <v>58</v>
      </c>
      <c r="B3" s="102"/>
      <c r="C3" s="102"/>
      <c r="D3" s="103"/>
    </row>
    <row r="4" spans="1:5" s="17" customFormat="1" ht="30" x14ac:dyDescent="0.25">
      <c r="A4" s="21" t="s">
        <v>12</v>
      </c>
      <c r="B4" s="22" t="s">
        <v>60</v>
      </c>
      <c r="C4" s="22" t="s">
        <v>55</v>
      </c>
      <c r="D4" s="22" t="s">
        <v>56</v>
      </c>
    </row>
    <row r="5" spans="1:5" x14ac:dyDescent="0.25">
      <c r="A5" s="18" t="s">
        <v>11</v>
      </c>
      <c r="B5" s="7">
        <f>11622000+1899000+16820000</f>
        <v>30341000</v>
      </c>
      <c r="C5" s="7">
        <v>13668200</v>
      </c>
      <c r="D5" s="7">
        <v>21752200</v>
      </c>
      <c r="E5" s="1"/>
    </row>
    <row r="6" spans="1:5" x14ac:dyDescent="0.25">
      <c r="A6" s="18" t="s">
        <v>6</v>
      </c>
      <c r="B6" s="7">
        <f>3182000+522000+4613000</f>
        <v>8317000</v>
      </c>
      <c r="C6" s="7">
        <v>3690414</v>
      </c>
      <c r="D6" s="7">
        <v>5873094</v>
      </c>
      <c r="E6" s="1"/>
    </row>
    <row r="7" spans="1:5" x14ac:dyDescent="0.25">
      <c r="A7" s="18" t="s">
        <v>9</v>
      </c>
      <c r="B7" s="7">
        <f>5461000+2998000+24873000</f>
        <v>33332000</v>
      </c>
      <c r="C7" s="7">
        <v>8359484</v>
      </c>
      <c r="D7" s="7">
        <v>9676602</v>
      </c>
      <c r="E7" s="1"/>
    </row>
    <row r="8" spans="1:5" x14ac:dyDescent="0.25">
      <c r="A8" s="18" t="s">
        <v>14</v>
      </c>
      <c r="B8" s="7">
        <v>300000</v>
      </c>
      <c r="C8" s="7">
        <v>0</v>
      </c>
      <c r="D8" s="7">
        <v>1000000</v>
      </c>
      <c r="E8" s="1"/>
    </row>
    <row r="9" spans="1:5" x14ac:dyDescent="0.25">
      <c r="A9" s="19" t="s">
        <v>10</v>
      </c>
      <c r="B9" s="19">
        <f>SUM(B5:B8)</f>
        <v>72290000</v>
      </c>
      <c r="C9" s="19">
        <f t="shared" ref="C9:D9" si="0">SUM(C5:C8)</f>
        <v>25718098</v>
      </c>
      <c r="D9" s="19">
        <f t="shared" si="0"/>
        <v>38301896</v>
      </c>
      <c r="E9" s="1"/>
    </row>
    <row r="10" spans="1:5" x14ac:dyDescent="0.25">
      <c r="A10" s="1"/>
      <c r="B10" s="1"/>
      <c r="C10" s="1"/>
      <c r="D10" s="1"/>
      <c r="E10" s="1"/>
    </row>
    <row r="11" spans="1:5" ht="30" x14ac:dyDescent="0.25">
      <c r="A11" s="23" t="s">
        <v>0</v>
      </c>
      <c r="B11" s="22" t="s">
        <v>60</v>
      </c>
      <c r="C11" s="22" t="s">
        <v>55</v>
      </c>
      <c r="D11" s="22" t="s">
        <v>57</v>
      </c>
      <c r="E11" s="1"/>
    </row>
    <row r="12" spans="1:5" x14ac:dyDescent="0.25">
      <c r="A12" s="24" t="s">
        <v>16</v>
      </c>
      <c r="B12" s="7">
        <v>0</v>
      </c>
      <c r="C12" s="7">
        <v>0</v>
      </c>
      <c r="D12" s="7">
        <v>0</v>
      </c>
      <c r="E12" s="1"/>
    </row>
    <row r="13" spans="1:5" x14ac:dyDescent="0.25">
      <c r="A13" s="24" t="s">
        <v>15</v>
      </c>
      <c r="B13" s="7">
        <f>673000+184000+6500000</f>
        <v>7357000</v>
      </c>
      <c r="C13" s="7">
        <v>184000</v>
      </c>
      <c r="D13" s="7">
        <v>184000</v>
      </c>
      <c r="E13" s="1"/>
    </row>
    <row r="14" spans="1:5" x14ac:dyDescent="0.25">
      <c r="A14" s="24" t="s">
        <v>13</v>
      </c>
      <c r="B14" s="7">
        <v>3400000</v>
      </c>
      <c r="C14" s="7">
        <v>3400000</v>
      </c>
      <c r="D14" s="7">
        <v>3400000</v>
      </c>
      <c r="E14" s="1"/>
    </row>
    <row r="15" spans="1:5" x14ac:dyDescent="0.25">
      <c r="A15" s="19" t="s">
        <v>2</v>
      </c>
      <c r="B15" s="19">
        <f>SUM(B12:B14)</f>
        <v>10757000</v>
      </c>
      <c r="C15" s="19">
        <f t="shared" ref="C15:D15" si="1">SUM(C12:C14)</f>
        <v>3584000</v>
      </c>
      <c r="D15" s="19">
        <f t="shared" si="1"/>
        <v>3584000</v>
      </c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9" t="s">
        <v>17</v>
      </c>
      <c r="B17" s="20">
        <f>6167000+2769000</f>
        <v>8936000</v>
      </c>
      <c r="C17" s="20">
        <v>6167000</v>
      </c>
      <c r="D17" s="20">
        <v>6167000</v>
      </c>
      <c r="E17" s="1"/>
    </row>
    <row r="18" spans="1:5" x14ac:dyDescent="0.25">
      <c r="A18" s="19" t="s">
        <v>18</v>
      </c>
      <c r="B18" s="19">
        <f>+B9-B15-B17</f>
        <v>52597000</v>
      </c>
      <c r="C18" s="19">
        <f t="shared" ref="C18:D18" si="2">+C9-C15-C17</f>
        <v>15967098</v>
      </c>
      <c r="D18" s="19">
        <f t="shared" si="2"/>
        <v>28550896</v>
      </c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9" t="s">
        <v>29</v>
      </c>
      <c r="B20" s="19">
        <v>19</v>
      </c>
      <c r="C20" s="19">
        <v>7</v>
      </c>
      <c r="D20" s="19">
        <v>12</v>
      </c>
      <c r="E20" s="1"/>
    </row>
    <row r="21" spans="1:5" x14ac:dyDescent="0.25">
      <c r="A21" s="25" t="s">
        <v>59</v>
      </c>
      <c r="B21" s="7">
        <v>1</v>
      </c>
      <c r="C21" s="7">
        <v>1</v>
      </c>
      <c r="D21" s="7">
        <v>1</v>
      </c>
      <c r="E21" s="1"/>
    </row>
    <row r="22" spans="1:5" x14ac:dyDescent="0.25">
      <c r="A22" s="25" t="s">
        <v>61</v>
      </c>
      <c r="B22" s="7">
        <v>2</v>
      </c>
      <c r="C22" s="7">
        <v>0</v>
      </c>
      <c r="D22" s="7">
        <v>0</v>
      </c>
      <c r="E22" s="1"/>
    </row>
    <row r="23" spans="1:5" x14ac:dyDescent="0.25">
      <c r="B23" s="1"/>
      <c r="C23" s="1"/>
      <c r="D23" s="1"/>
      <c r="E23" s="1"/>
    </row>
    <row r="24" spans="1:5" x14ac:dyDescent="0.25">
      <c r="B24" s="1"/>
      <c r="C24" s="1"/>
      <c r="D24" s="1"/>
      <c r="E24" s="1"/>
    </row>
  </sheetData>
  <mergeCells count="2">
    <mergeCell ref="A1:D1"/>
    <mergeCell ref="A3:D3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38"/>
  <sheetViews>
    <sheetView tabSelected="1" zoomScaleNormal="100" workbookViewId="0">
      <selection activeCell="G17" sqref="G17"/>
    </sheetView>
  </sheetViews>
  <sheetFormatPr defaultRowHeight="15" x14ac:dyDescent="0.25"/>
  <cols>
    <col min="2" max="2" width="62.875" customWidth="1"/>
  </cols>
  <sheetData>
    <row r="1" spans="1:2" x14ac:dyDescent="0.25">
      <c r="A1" s="78" t="s">
        <v>183</v>
      </c>
      <c r="B1" s="78"/>
    </row>
    <row r="3" spans="1:2" x14ac:dyDescent="0.25">
      <c r="A3" t="s">
        <v>151</v>
      </c>
      <c r="B3" t="s">
        <v>152</v>
      </c>
    </row>
    <row r="4" spans="1:2" s="64" customFormat="1" x14ac:dyDescent="0.25">
      <c r="B4" s="64" t="s">
        <v>153</v>
      </c>
    </row>
    <row r="5" spans="1:2" s="64" customFormat="1" x14ac:dyDescent="0.25">
      <c r="B5" s="64" t="s">
        <v>154</v>
      </c>
    </row>
    <row r="6" spans="1:2" s="64" customFormat="1" x14ac:dyDescent="0.25">
      <c r="B6" s="64" t="s">
        <v>155</v>
      </c>
    </row>
    <row r="7" spans="1:2" s="64" customFormat="1" x14ac:dyDescent="0.25">
      <c r="B7" s="64" t="s">
        <v>156</v>
      </c>
    </row>
    <row r="8" spans="1:2" s="64" customFormat="1" ht="30" x14ac:dyDescent="0.25">
      <c r="B8" s="64" t="s">
        <v>157</v>
      </c>
    </row>
    <row r="9" spans="1:2" s="64" customFormat="1" x14ac:dyDescent="0.25"/>
    <row r="10" spans="1:2" s="64" customFormat="1" x14ac:dyDescent="0.25">
      <c r="A10" s="64" t="s">
        <v>158</v>
      </c>
      <c r="B10" s="64" t="s">
        <v>159</v>
      </c>
    </row>
    <row r="11" spans="1:2" s="64" customFormat="1" ht="30" x14ac:dyDescent="0.25">
      <c r="B11" s="64" t="s">
        <v>160</v>
      </c>
    </row>
    <row r="12" spans="1:2" s="64" customFormat="1" x14ac:dyDescent="0.25"/>
    <row r="13" spans="1:2" s="64" customFormat="1" x14ac:dyDescent="0.25">
      <c r="A13" s="64" t="s">
        <v>161</v>
      </c>
      <c r="B13" s="64" t="s">
        <v>162</v>
      </c>
    </row>
    <row r="14" spans="1:2" s="64" customFormat="1" ht="30" x14ac:dyDescent="0.25">
      <c r="B14" s="64" t="s">
        <v>163</v>
      </c>
    </row>
    <row r="15" spans="1:2" s="64" customFormat="1" x14ac:dyDescent="0.25"/>
    <row r="16" spans="1:2" s="64" customFormat="1" x14ac:dyDescent="0.25">
      <c r="A16" s="64" t="s">
        <v>164</v>
      </c>
      <c r="B16" s="64" t="s">
        <v>166</v>
      </c>
    </row>
    <row r="17" spans="1:2" s="64" customFormat="1" ht="45" x14ac:dyDescent="0.25">
      <c r="B17" s="64" t="s">
        <v>167</v>
      </c>
    </row>
    <row r="18" spans="1:2" s="64" customFormat="1" ht="45" x14ac:dyDescent="0.25">
      <c r="B18" s="64" t="s">
        <v>168</v>
      </c>
    </row>
    <row r="19" spans="1:2" s="64" customFormat="1" x14ac:dyDescent="0.25"/>
    <row r="20" spans="1:2" s="64" customFormat="1" ht="45" x14ac:dyDescent="0.25">
      <c r="A20" s="9" t="s">
        <v>169</v>
      </c>
      <c r="B20" s="64" t="s">
        <v>170</v>
      </c>
    </row>
    <row r="21" spans="1:2" s="64" customFormat="1" x14ac:dyDescent="0.25"/>
    <row r="22" spans="1:2" s="64" customFormat="1" x14ac:dyDescent="0.25">
      <c r="A22" s="64" t="s">
        <v>171</v>
      </c>
      <c r="B22" s="64" t="s">
        <v>172</v>
      </c>
    </row>
    <row r="23" spans="1:2" s="64" customFormat="1" ht="30" x14ac:dyDescent="0.25">
      <c r="B23" s="64" t="s">
        <v>173</v>
      </c>
    </row>
    <row r="24" spans="1:2" s="64" customFormat="1" x14ac:dyDescent="0.25"/>
    <row r="25" spans="1:2" s="64" customFormat="1" x14ac:dyDescent="0.25">
      <c r="A25" s="64" t="s">
        <v>174</v>
      </c>
      <c r="B25" s="64" t="s">
        <v>175</v>
      </c>
    </row>
    <row r="26" spans="1:2" s="64" customFormat="1" ht="30" x14ac:dyDescent="0.25">
      <c r="B26" s="64" t="s">
        <v>176</v>
      </c>
    </row>
    <row r="27" spans="1:2" s="64" customFormat="1" x14ac:dyDescent="0.25"/>
    <row r="28" spans="1:2" s="64" customFormat="1" x14ac:dyDescent="0.25">
      <c r="A28" s="64" t="s">
        <v>177</v>
      </c>
      <c r="B28" s="64" t="s">
        <v>178</v>
      </c>
    </row>
    <row r="29" spans="1:2" s="64" customFormat="1" x14ac:dyDescent="0.25">
      <c r="B29" s="64" t="s">
        <v>179</v>
      </c>
    </row>
    <row r="30" spans="1:2" s="64" customFormat="1" x14ac:dyDescent="0.25"/>
    <row r="31" spans="1:2" s="64" customFormat="1" ht="30" x14ac:dyDescent="0.25">
      <c r="A31" s="9" t="s">
        <v>180</v>
      </c>
      <c r="B31" s="64" t="s">
        <v>181</v>
      </c>
    </row>
    <row r="32" spans="1:2" s="64" customFormat="1" x14ac:dyDescent="0.25">
      <c r="B32" s="64" t="s">
        <v>182</v>
      </c>
    </row>
    <row r="33" s="64" customFormat="1" x14ac:dyDescent="0.25"/>
    <row r="34" s="64" customFormat="1" x14ac:dyDescent="0.25"/>
    <row r="35" s="64" customFormat="1" x14ac:dyDescent="0.25"/>
    <row r="36" s="64" customFormat="1" x14ac:dyDescent="0.25"/>
    <row r="37" s="64" customFormat="1" x14ac:dyDescent="0.25"/>
    <row r="38" s="64" customFormat="1" x14ac:dyDescent="0.25"/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2</vt:i4>
      </vt:variant>
    </vt:vector>
  </HeadingPairs>
  <TitlesOfParts>
    <vt:vector size="7" baseType="lpstr">
      <vt:lpstr>2016. évi rend.</vt:lpstr>
      <vt:lpstr>A variáció</vt:lpstr>
      <vt:lpstr>B variáció</vt:lpstr>
      <vt:lpstr>Összehasonlítás</vt:lpstr>
      <vt:lpstr>Részletkérdések</vt:lpstr>
      <vt:lpstr>'A variáció'!Nyomtatási_terület</vt:lpstr>
      <vt:lpstr>'B variáció'!Nyomtatási_terület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2016-09-19T07:07:49Z</dcterms:modified>
</cp:coreProperties>
</file>